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465" windowWidth="5130" windowHeight="3495" activeTab="4"/>
  </bookViews>
  <sheets>
    <sheet name="Econometric Model" sheetId="1" r:id="rId1"/>
    <sheet name="Upgrade Detail" sheetId="2" r:id="rId2"/>
    <sheet name="Diesel Fuel Costs" sheetId="3" r:id="rId3"/>
    <sheet name="Electric Power Costs" sheetId="4" r:id="rId4"/>
    <sheet name="Actual Costs" sheetId="5" r:id="rId5"/>
  </sheets>
  <definedNames/>
  <calcPr fullCalcOnLoad="1"/>
</workbook>
</file>

<file path=xl/comments1.xml><?xml version="1.0" encoding="utf-8"?>
<comments xmlns="http://schemas.openxmlformats.org/spreadsheetml/2006/main">
  <authors>
    <author>Kim Sol</author>
  </authors>
  <commentList>
    <comment ref="D43" authorId="0">
      <text>
        <r>
          <rPr>
            <b/>
            <sz val="8"/>
            <rFont val="Tahoma"/>
            <family val="0"/>
          </rPr>
          <t xml:space="preserve">Includes 12 existing Little Joes
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Includes 12 existing Little Joes
</t>
        </r>
      </text>
    </comment>
    <comment ref="D128" authorId="0">
      <text>
        <r>
          <rPr>
            <sz val="8"/>
            <rFont val="Tahoma"/>
            <family val="0"/>
          </rPr>
          <t xml:space="preserve">10% of combined diesel fuel and lube oil costs
</t>
        </r>
      </text>
    </comment>
    <comment ref="D129" authorId="0">
      <text>
        <r>
          <rPr>
            <sz val="8"/>
            <rFont val="Tahoma"/>
            <family val="0"/>
          </rPr>
          <t xml:space="preserve">10% of combned diesel fuel and lube oil costs
</t>
        </r>
      </text>
    </comment>
    <comment ref="E43" authorId="0">
      <text>
        <r>
          <rPr>
            <b/>
            <sz val="8"/>
            <rFont val="Tahoma"/>
            <family val="0"/>
          </rPr>
          <t xml:space="preserve">Includes 12 existing Little Joes
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Includes 12 existing Little Joes
</t>
        </r>
      </text>
    </comment>
    <comment ref="E128" authorId="0">
      <text>
        <r>
          <rPr>
            <sz val="8"/>
            <rFont val="Tahoma"/>
            <family val="0"/>
          </rPr>
          <t xml:space="preserve">10% of combined diesel fuel and lube oil costs
</t>
        </r>
      </text>
    </comment>
    <comment ref="E129" authorId="0">
      <text>
        <r>
          <rPr>
            <sz val="8"/>
            <rFont val="Tahoma"/>
            <family val="0"/>
          </rPr>
          <t xml:space="preserve">10% of combned diesel fuel and lube oil costs
</t>
        </r>
      </text>
    </comment>
    <comment ref="D81" authorId="0">
      <text>
        <r>
          <rPr>
            <sz val="8"/>
            <rFont val="Tahoma"/>
            <family val="0"/>
          </rPr>
          <t xml:space="preserve">GE did not account for released Diesel-electrics
</t>
        </r>
      </text>
    </comment>
    <comment ref="E81" authorId="0">
      <text>
        <r>
          <rPr>
            <sz val="8"/>
            <rFont val="Tahoma"/>
            <family val="0"/>
          </rPr>
          <t xml:space="preserve">Releasing 49 GP-40s, and 7 SD-45s, per # units in daily operation in Electrified Zones, 1972.
</t>
        </r>
      </text>
    </comment>
    <comment ref="D71" authorId="0">
      <text>
        <r>
          <rPr>
            <sz val="8"/>
            <rFont val="Tahoma"/>
            <family val="0"/>
          </rPr>
          <t xml:space="preserve">The GE figure doesn't make much sense, so it is not used in any calculation.
</t>
        </r>
      </text>
    </comment>
    <comment ref="D67" authorId="0">
      <text>
        <r>
          <rPr>
            <sz val="8"/>
            <rFont val="Tahoma"/>
            <family val="0"/>
          </rPr>
          <t xml:space="preserve">Electrification of the "Gap".
</t>
        </r>
      </text>
    </comment>
    <comment ref="E67" authorId="0">
      <text>
        <r>
          <rPr>
            <sz val="8"/>
            <rFont val="Tahoma"/>
            <family val="0"/>
          </rPr>
          <t xml:space="preserve">Electrification of the "Gap"
</t>
        </r>
      </text>
    </comment>
    <comment ref="D97" authorId="0">
      <text>
        <r>
          <rPr>
            <sz val="8"/>
            <rFont val="Tahoma"/>
            <family val="0"/>
          </rPr>
          <t xml:space="preserve">Milwaukee figures showed 12.4%; GE used 10% to be "conservative".
</t>
        </r>
      </text>
    </comment>
    <comment ref="D83" authorId="0">
      <text>
        <r>
          <rPr>
            <sz val="8"/>
            <rFont val="Tahoma"/>
            <family val="0"/>
          </rPr>
          <t xml:space="preserve">GE did not consider the release value of Diesel-Elctrics currently used in Electrified Zones.
</t>
        </r>
      </text>
    </comment>
    <comment ref="G6" authorId="0">
      <text>
        <r>
          <rPr>
            <sz val="8"/>
            <rFont val="Tahoma"/>
            <family val="0"/>
          </rPr>
          <t xml:space="preserve">GE did not allocate a "scrap" value to termination of existing Dieselization … release of diesels for use elsewhere.
</t>
        </r>
      </text>
    </comment>
    <comment ref="D106" authorId="0">
      <text>
        <r>
          <rPr>
            <sz val="8"/>
            <rFont val="Tahoma"/>
            <family val="0"/>
          </rPr>
          <t xml:space="preserve">Existing Diesel Fleet
</t>
        </r>
      </text>
    </comment>
    <comment ref="D107" authorId="0">
      <text>
        <r>
          <rPr>
            <sz val="8"/>
            <rFont val="Tahoma"/>
            <family val="0"/>
          </rPr>
          <t xml:space="preserve">Existing Diesel Fleet
</t>
        </r>
      </text>
    </comment>
    <comment ref="D113" authorId="0">
      <text>
        <r>
          <rPr>
            <sz val="8"/>
            <rFont val="Tahoma"/>
            <family val="0"/>
          </rPr>
          <t xml:space="preserve">Locotrol Unit Costs
</t>
        </r>
      </text>
    </comment>
    <comment ref="E113" authorId="0">
      <text>
        <r>
          <rPr>
            <sz val="8"/>
            <rFont val="Tahoma"/>
            <family val="0"/>
          </rPr>
          <t xml:space="preserve">Non-Locotrol unit cost.
</t>
        </r>
      </text>
    </comment>
    <comment ref="E40" authorId="0">
      <text>
        <r>
          <rPr>
            <sz val="8"/>
            <rFont val="Tahoma"/>
            <family val="0"/>
          </rPr>
          <t xml:space="preserve">Industrial Electric Power costs declined after 1974 to 4.83 cents/kwh in Montana and 4.27 cents/kwh in Washington, and 3.91/kwh in Idaho by 2005.
</t>
        </r>
      </text>
    </comment>
    <comment ref="D19" authorId="0">
      <text>
        <r>
          <rPr>
            <b/>
            <sz val="8"/>
            <rFont val="Tahoma"/>
            <family val="0"/>
          </rPr>
          <t>2.7% represented one-half of the average tonnage growth rate, 1960-1970 in the Electrified Zones.</t>
        </r>
      </text>
    </comment>
    <comment ref="D20" authorId="0">
      <text>
        <r>
          <rPr>
            <sz val="8"/>
            <rFont val="Tahoma"/>
            <family val="0"/>
          </rPr>
          <t xml:space="preserve">The average growth rate of tonnage in the Electrified Zones, 1960-1970, was 5%.
</t>
        </r>
      </text>
    </comment>
    <comment ref="E20" authorId="0">
      <text>
        <r>
          <rPr>
            <sz val="8"/>
            <rFont val="Tahoma"/>
            <family val="0"/>
          </rPr>
          <t xml:space="preserve">Tonnage grew an average of 8.5%, annually, 1972-1977.
</t>
        </r>
      </text>
    </comment>
    <comment ref="D40" authorId="0">
      <text>
        <r>
          <rPr>
            <sz val="8"/>
            <rFont val="Tahoma"/>
            <family val="0"/>
          </rPr>
          <t xml:space="preserve">GE noted that electric power costs had declined over the two decades prior to the Study, but estimated a 1% inflation rate for the future.
</t>
        </r>
      </text>
    </comment>
  </commentList>
</comments>
</file>

<file path=xl/comments2.xml><?xml version="1.0" encoding="utf-8"?>
<comments xmlns="http://schemas.openxmlformats.org/spreadsheetml/2006/main">
  <authors>
    <author>Kim Sol</author>
  </authors>
  <commentList>
    <comment ref="G5" authorId="0">
      <text>
        <r>
          <rPr>
            <sz val="8"/>
            <rFont val="Tahoma"/>
            <family val="0"/>
          </rPr>
          <t xml:space="preserve">When MGTM increases by 1,500,000 MGTM.
</t>
        </r>
      </text>
    </comment>
    <comment ref="J5" authorId="0">
      <text>
        <r>
          <rPr>
            <sz val="8"/>
            <rFont val="Tahoma"/>
            <family val="0"/>
          </rPr>
          <t xml:space="preserve">When traffic has increased 3.0 MGTM
</t>
        </r>
      </text>
    </comment>
  </commentList>
</comments>
</file>

<file path=xl/comments5.xml><?xml version="1.0" encoding="utf-8"?>
<comments xmlns="http://schemas.openxmlformats.org/spreadsheetml/2006/main">
  <authors>
    <author>Kim Sol</author>
  </authors>
  <commentList>
    <comment ref="G6" authorId="0">
      <text>
        <r>
          <rPr>
            <sz val="8"/>
            <rFont val="Tahoma"/>
            <family val="0"/>
          </rPr>
          <t xml:space="preserve">GE did not allocate a "scrap" value to termination of existing Dieselization … release of diesels for use elsewhere.
</t>
        </r>
      </text>
    </comment>
    <comment ref="D19" authorId="0">
      <text>
        <r>
          <rPr>
            <b/>
            <sz val="8"/>
            <rFont val="Tahoma"/>
            <family val="0"/>
          </rPr>
          <t>2.7% represented one-half of the average tonnage growth rate, 1960-1970 in the Electrified Zones.</t>
        </r>
      </text>
    </comment>
    <comment ref="D20" authorId="0">
      <text>
        <r>
          <rPr>
            <sz val="8"/>
            <rFont val="Tahoma"/>
            <family val="0"/>
          </rPr>
          <t xml:space="preserve">The average growth rate of tonnage in the Electrified Zones, 1960-1970, was 5%.
</t>
        </r>
      </text>
    </comment>
    <comment ref="E20" authorId="0">
      <text>
        <r>
          <rPr>
            <sz val="8"/>
            <rFont val="Tahoma"/>
            <family val="0"/>
          </rPr>
          <t xml:space="preserve">Tonnage grew an average of 8.5%, annually, 1972-1977.
</t>
        </r>
      </text>
    </comment>
    <comment ref="D40" authorId="0">
      <text>
        <r>
          <rPr>
            <sz val="8"/>
            <rFont val="Tahoma"/>
            <family val="0"/>
          </rPr>
          <t xml:space="preserve">GE noted that electric power costs had declined over the two decades prior to the Study, but estimated a 1% inflation rate for the future.
</t>
        </r>
      </text>
    </comment>
    <comment ref="E40" authorId="0">
      <text>
        <r>
          <rPr>
            <sz val="8"/>
            <rFont val="Tahoma"/>
            <family val="0"/>
          </rPr>
          <t xml:space="preserve">Industrial Electric Power costs declined after 1974 to 4.83 cents/kwh in Montana and 4.27 cents/kwh in Washington, and 3.91/kwh in Idaho by 2005.
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Includes 12 existing Little Joes
</t>
        </r>
      </text>
    </comment>
    <comment ref="E43" authorId="0">
      <text>
        <r>
          <rPr>
            <b/>
            <sz val="8"/>
            <rFont val="Tahoma"/>
            <family val="0"/>
          </rPr>
          <t xml:space="preserve">Includes 12 existing Little Joes
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Includes 12 existing Little Joes
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Includes 12 existing Little Joes
</t>
        </r>
      </text>
    </comment>
    <comment ref="D67" authorId="0">
      <text>
        <r>
          <rPr>
            <sz val="8"/>
            <rFont val="Tahoma"/>
            <family val="0"/>
          </rPr>
          <t xml:space="preserve">Electrification of the "Gap".
</t>
        </r>
      </text>
    </comment>
    <comment ref="E67" authorId="0">
      <text>
        <r>
          <rPr>
            <sz val="8"/>
            <rFont val="Tahoma"/>
            <family val="0"/>
          </rPr>
          <t xml:space="preserve">Electrification of the "Gap"
</t>
        </r>
      </text>
    </comment>
    <comment ref="D71" authorId="0">
      <text>
        <r>
          <rPr>
            <sz val="8"/>
            <rFont val="Tahoma"/>
            <family val="0"/>
          </rPr>
          <t xml:space="preserve">The GE figure doesn't make much sense, so it is not used in any calculation.
</t>
        </r>
      </text>
    </comment>
    <comment ref="D80" authorId="0">
      <text>
        <r>
          <rPr>
            <sz val="8"/>
            <rFont val="Tahoma"/>
            <family val="0"/>
          </rPr>
          <t xml:space="preserve">GE did not account for released Diesel-electrics
</t>
        </r>
      </text>
    </comment>
    <comment ref="E80" authorId="0">
      <text>
        <r>
          <rPr>
            <sz val="8"/>
            <rFont val="Tahoma"/>
            <family val="0"/>
          </rPr>
          <t xml:space="preserve">Releasing 49 GP-40s, and 7 SD-45s, per # units in daily operation in Electrified Zones, 1972.
</t>
        </r>
      </text>
    </comment>
    <comment ref="D82" authorId="0">
      <text>
        <r>
          <rPr>
            <sz val="8"/>
            <rFont val="Tahoma"/>
            <family val="0"/>
          </rPr>
          <t xml:space="preserve">GE did not consider the release value of Diesel-Elctrics currently used in Electrified Zones.
</t>
        </r>
      </text>
    </comment>
    <comment ref="D96" authorId="0">
      <text>
        <r>
          <rPr>
            <sz val="8"/>
            <rFont val="Tahoma"/>
            <family val="0"/>
          </rPr>
          <t xml:space="preserve">Milwaukee figures showed 12.4%; GE used 10% to be "conservative".
</t>
        </r>
      </text>
    </comment>
    <comment ref="D105" authorId="0">
      <text>
        <r>
          <rPr>
            <sz val="8"/>
            <rFont val="Tahoma"/>
            <family val="0"/>
          </rPr>
          <t xml:space="preserve">Existing Diesel Fleet
</t>
        </r>
      </text>
    </comment>
    <comment ref="D106" authorId="0">
      <text>
        <r>
          <rPr>
            <sz val="8"/>
            <rFont val="Tahoma"/>
            <family val="0"/>
          </rPr>
          <t xml:space="preserve">Existing Diesel Fleet
</t>
        </r>
      </text>
    </comment>
    <comment ref="D112" authorId="0">
      <text>
        <r>
          <rPr>
            <sz val="8"/>
            <rFont val="Tahoma"/>
            <family val="0"/>
          </rPr>
          <t xml:space="preserve">Locotrol Unit Costs
</t>
        </r>
      </text>
    </comment>
    <comment ref="E112" authorId="0">
      <text>
        <r>
          <rPr>
            <sz val="8"/>
            <rFont val="Tahoma"/>
            <family val="0"/>
          </rPr>
          <t xml:space="preserve">Non-Locotrol unit cost.
</t>
        </r>
      </text>
    </comment>
    <comment ref="D127" authorId="0">
      <text>
        <r>
          <rPr>
            <sz val="8"/>
            <rFont val="Tahoma"/>
            <family val="0"/>
          </rPr>
          <t xml:space="preserve">10% of combined diesel fuel and lube oil costs
</t>
        </r>
      </text>
    </comment>
    <comment ref="E127" authorId="0">
      <text>
        <r>
          <rPr>
            <sz val="8"/>
            <rFont val="Tahoma"/>
            <family val="0"/>
          </rPr>
          <t xml:space="preserve">10% of combined diesel fuel and lube oil costs
</t>
        </r>
      </text>
    </comment>
    <comment ref="D128" authorId="0">
      <text>
        <r>
          <rPr>
            <sz val="8"/>
            <rFont val="Tahoma"/>
            <family val="0"/>
          </rPr>
          <t xml:space="preserve">10% of combned diesel fuel and lube oil costs
</t>
        </r>
      </text>
    </comment>
    <comment ref="E128" authorId="0">
      <text>
        <r>
          <rPr>
            <sz val="8"/>
            <rFont val="Tahoma"/>
            <family val="0"/>
          </rPr>
          <t xml:space="preserve">10% of combned diesel fuel and lube oil costs
</t>
        </r>
      </text>
    </comment>
    <comment ref="F6" authorId="0">
      <text>
        <r>
          <rPr>
            <sz val="8"/>
            <rFont val="Tahoma"/>
            <family val="0"/>
          </rPr>
          <t xml:space="preserve">Includes sale of 110 kvAC powerline.
</t>
        </r>
      </text>
    </comment>
  </commentList>
</comments>
</file>

<file path=xl/sharedStrings.xml><?xml version="1.0" encoding="utf-8"?>
<sst xmlns="http://schemas.openxmlformats.org/spreadsheetml/2006/main" count="484" uniqueCount="184">
  <si>
    <t>Initial Year of Operation</t>
  </si>
  <si>
    <t>Projected Discount Rate</t>
  </si>
  <si>
    <t>Projected Annual Interest Rate</t>
  </si>
  <si>
    <t>Projected Annual Inflation Rate</t>
  </si>
  <si>
    <t>Taxes</t>
  </si>
  <si>
    <t>Depreciation Method</t>
  </si>
  <si>
    <t>Signals</t>
  </si>
  <si>
    <t>Electric Locomotives</t>
  </si>
  <si>
    <t>Diesel-Electric Locomotives</t>
  </si>
  <si>
    <t>Loan Payments</t>
  </si>
  <si>
    <t>Complete Electrification</t>
  </si>
  <si>
    <t>Electric Energy Rate</t>
  </si>
  <si>
    <t>Coast Division</t>
  </si>
  <si>
    <t>Idaho Division</t>
  </si>
  <si>
    <t>Montana</t>
  </si>
  <si>
    <t>Electric Energy Inflation Rate</t>
  </si>
  <si>
    <t>Electric Locomotive Horsepower</t>
  </si>
  <si>
    <t>Price -- Electric Locomotives</t>
  </si>
  <si>
    <t>Cost per Electric Horsepower</t>
  </si>
  <si>
    <t>Electric Locomotive Availability</t>
  </si>
  <si>
    <t>Lease term -- Locomotives</t>
  </si>
  <si>
    <t>Catenary, Substation and loco Lease Charges</t>
  </si>
  <si>
    <t>Catenary and Substation Maintenance</t>
  </si>
  <si>
    <t>Signal System and Bonding Changes</t>
  </si>
  <si>
    <t>110 kV AC Transmission Line Sale Price</t>
  </si>
  <si>
    <t>Number of Diesel Electrics released</t>
  </si>
  <si>
    <t>% Depreciation of Diesel Electrics Released</t>
  </si>
  <si>
    <t>Release value of Diesel-Electrics</t>
  </si>
  <si>
    <t>Complete Dieselization</t>
  </si>
  <si>
    <t>Diesel Fuel Inflation Rate</t>
  </si>
  <si>
    <t>Diesel Locomotive Horsepower</t>
  </si>
  <si>
    <t>Diesel HP/MGTM</t>
  </si>
  <si>
    <t>Availability of Diesel Horsepower per EMD</t>
  </si>
  <si>
    <t>Price -- Diesel Electric Locomotives</t>
  </si>
  <si>
    <t>Cost per Diesel Horsepower</t>
  </si>
  <si>
    <t>Diesel-Electric Locomotive Spare Parts Inventory @0.01</t>
  </si>
  <si>
    <t>Diesel-Electric Locomotive Spare Parts Inventory @0.05</t>
  </si>
  <si>
    <t>Signal Pole Replacement Cost, 1974-1988</t>
  </si>
  <si>
    <t>Scrap Value Electrification</t>
  </si>
  <si>
    <t>Severence Cost -- Electrification</t>
  </si>
  <si>
    <t>SL+10%</t>
  </si>
  <si>
    <t>P+I</t>
  </si>
  <si>
    <t>Total Capital Cost -- First Year</t>
  </si>
  <si>
    <t>Year</t>
  </si>
  <si>
    <t>Inflation Index</t>
  </si>
  <si>
    <t>Traffic Volume --1971 --6,347,978</t>
  </si>
  <si>
    <t>Model Output</t>
  </si>
  <si>
    <t>Model Input</t>
  </si>
  <si>
    <t>Category</t>
  </si>
  <si>
    <t>Original GE Number</t>
  </si>
  <si>
    <t>New Number</t>
  </si>
  <si>
    <t>Catenary &amp; Substation Lease charges</t>
  </si>
  <si>
    <t xml:space="preserve">
</t>
  </si>
  <si>
    <t>NPV of Signal Pole Replacement Cost</t>
  </si>
  <si>
    <t>GE Full Dieselization</t>
  </si>
  <si>
    <t>GE Full Electrification</t>
  </si>
  <si>
    <t>Modified Full Dieselization</t>
  </si>
  <si>
    <t>Modified Full Electrification</t>
  </si>
  <si>
    <t>Electrification Improvement Detail, November, 1969, WWP, PSP&amp;L, MPC.</t>
  </si>
  <si>
    <t>Avery-Othello Extension</t>
  </si>
  <si>
    <t>Poles, etc.</t>
  </si>
  <si>
    <t>Trolley and Feeders</t>
  </si>
  <si>
    <t>Labor</t>
  </si>
  <si>
    <t>Total Trolley</t>
  </si>
  <si>
    <t>Substations &amp; Transformers</t>
  </si>
  <si>
    <t>Rectifiers &amp; Switches</t>
  </si>
  <si>
    <t>Substation Total</t>
  </si>
  <si>
    <t>Total Avery - Othello</t>
  </si>
  <si>
    <t>Coast Division Improvements</t>
  </si>
  <si>
    <t>Other Substation Costs</t>
  </si>
  <si>
    <t>Feeder increase</t>
  </si>
  <si>
    <t>Total Coast Division</t>
  </si>
  <si>
    <t>Rocky Mountain Division Improvements</t>
  </si>
  <si>
    <t>1 Substation Rectified Transformer</t>
  </si>
  <si>
    <t>3 Substation Rectifier Transformers</t>
  </si>
  <si>
    <t>Total RM Division</t>
  </si>
  <si>
    <t>Total Project</t>
  </si>
  <si>
    <t>Copper Credits</t>
  </si>
  <si>
    <t>Coast</t>
  </si>
  <si>
    <t>RM</t>
  </si>
  <si>
    <t>Total</t>
  </si>
  <si>
    <t>Net Project Cost</t>
  </si>
  <si>
    <t>Phase II</t>
  </si>
  <si>
    <t>9/71 Supplement</t>
  </si>
  <si>
    <t>Phase III</t>
  </si>
  <si>
    <t>Total Capital Cost @ First Year</t>
  </si>
  <si>
    <t>Total Capital Cost @First Year</t>
  </si>
  <si>
    <t>Recommendation</t>
  </si>
  <si>
    <t>Dieselization</t>
  </si>
  <si>
    <t>Electrification IRR</t>
  </si>
  <si>
    <t>Dieselization IRR</t>
  </si>
  <si>
    <t>IRR</t>
  </si>
  <si>
    <t>Initial Capital</t>
  </si>
  <si>
    <t>Phase I</t>
  </si>
  <si>
    <t xml:space="preserve">          GE Econometric Model -- 1972</t>
  </si>
  <si>
    <t>Electric HP/MGT</t>
  </si>
  <si>
    <t>Mileage</t>
  </si>
  <si>
    <t>Depreciation, Catenary and Substations</t>
  </si>
  <si>
    <t>MGTM/Projected Annual Growth Rate</t>
  </si>
  <si>
    <t>Table 8.10  Average Retail Prices of Electricity, 1960-2005</t>
  </si>
  <si>
    <t>                        (Cents per Kilowatthour, Including Taxes)</t>
  </si>
  <si>
    <t>Residential</t>
  </si>
  <si>
    <r>
      <t>Commercial </t>
    </r>
    <r>
      <rPr>
        <vertAlign val="superscript"/>
        <sz val="5"/>
        <rFont val="Arial"/>
        <family val="2"/>
      </rPr>
      <t>1</t>
    </r>
  </si>
  <si>
    <r>
      <t>Industrial </t>
    </r>
    <r>
      <rPr>
        <vertAlign val="superscript"/>
        <sz val="5"/>
        <rFont val="Arial"/>
        <family val="2"/>
      </rPr>
      <t>2</t>
    </r>
  </si>
  <si>
    <r>
      <t>Transportation </t>
    </r>
    <r>
      <rPr>
        <vertAlign val="superscript"/>
        <sz val="5"/>
        <rFont val="Arial"/>
        <family val="2"/>
      </rPr>
      <t>3</t>
    </r>
  </si>
  <si>
    <r>
      <t>Other </t>
    </r>
    <r>
      <rPr>
        <vertAlign val="superscript"/>
        <sz val="5"/>
        <rFont val="Arial"/>
        <family val="2"/>
      </rPr>
      <t>4</t>
    </r>
  </si>
  <si>
    <t>Nominal</t>
  </si>
  <si>
    <r>
      <t>Real </t>
    </r>
    <r>
      <rPr>
        <vertAlign val="superscript"/>
        <sz val="5"/>
        <rFont val="Arial"/>
        <family val="2"/>
      </rPr>
      <t>5</t>
    </r>
  </si>
  <si>
    <t>NA</t>
  </si>
  <si>
    <t>[R]</t>
  </si>
  <si>
    <t></t>
  </si>
  <si>
    <r>
      <t>2005</t>
    </r>
    <r>
      <rPr>
        <vertAlign val="superscript"/>
        <sz val="5"/>
        <rFont val="Arial"/>
        <family val="2"/>
      </rPr>
      <t>P</t>
    </r>
  </si>
  <si>
    <r>
      <t>1</t>
    </r>
    <r>
      <rPr>
        <sz val="7"/>
        <rFont val="Arial"/>
        <family val="2"/>
      </rPr>
      <t>Commercial sector.  For 1960-2002, prices exclude public street and highway lighting,</t>
    </r>
  </si>
  <si>
    <t>R=Revised.  P=Preliminary.  NA=Not available.   = Not applicable.</t>
  </si>
  <si>
    <t>interdepartmental sales, and other sales to public authorities.</t>
  </si>
  <si>
    <r>
      <t>2</t>
    </r>
    <r>
      <rPr>
        <sz val="7"/>
        <rFont val="Arial"/>
        <family val="2"/>
      </rPr>
      <t>Industrial sector.  For 1960-2002, prices exclude agriculture and irrigation.</t>
    </r>
  </si>
  <si>
    <r>
      <t>Notes:  </t>
    </r>
    <r>
      <rPr>
        <sz val="7"/>
        <rFont val="Symbol"/>
        <family val="1"/>
      </rPr>
      <t>·  </t>
    </r>
    <r>
      <rPr>
        <sz val="7"/>
        <rFont val="Arial"/>
        <family val="2"/>
      </rPr>
      <t>Beginning in 2003, the category "Other" has been replaced by "Transportation," and the</t>
    </r>
  </si>
  <si>
    <r>
      <t>categories "Commercial" and "Industrial" have been redefined.  </t>
    </r>
    <r>
      <rPr>
        <sz val="7"/>
        <rFont val="Symbol"/>
        <family val="1"/>
      </rPr>
      <t>·  </t>
    </r>
    <r>
      <rPr>
        <sz val="7"/>
        <rFont val="Arial"/>
        <family val="2"/>
      </rPr>
      <t>Data represent revenue from electricity</t>
    </r>
  </si>
  <si>
    <r>
      <t>retail sales divided by electricity retail sales.  </t>
    </r>
    <r>
      <rPr>
        <sz val="7"/>
        <rFont val="Symbol"/>
        <family val="1"/>
      </rPr>
      <t>·  </t>
    </r>
    <r>
      <rPr>
        <sz val="7"/>
        <rFont val="Arial"/>
        <family val="2"/>
      </rPr>
      <t>Prices include State and local taxes, energy or demand</t>
    </r>
  </si>
  <si>
    <t>charges, customer service charges, environmental surcharges, franchise fees, fuel adjustments, and other</t>
  </si>
  <si>
    <t>miscellaneous charges applied to end-use customers during normal billing operations. Prices do not include</t>
  </si>
  <si>
    <t>deferred charges, credits, or other adjustments, such as fuel or revenue from purchased power, from</t>
  </si>
  <si>
    <r>
      <t>previous reporting periods.  </t>
    </r>
    <r>
      <rPr>
        <sz val="7"/>
        <rFont val="Symbol"/>
        <family val="1"/>
      </rPr>
      <t>·  </t>
    </r>
    <r>
      <rPr>
        <sz val="7"/>
        <rFont val="Arial"/>
        <family val="2"/>
      </rPr>
      <t>Through 1979, data are for Classes A and B privately owned electric utilities</t>
    </r>
  </si>
  <si>
    <t>only.  For 1980-1982, data are for selected Class A utilities whose electric operating revenues were $100</t>
  </si>
  <si>
    <t>million or more during the previous year.  For 1983, data are for a selected sample of electric utilities. </t>
  </si>
  <si>
    <t>Beginning in 1984, data are for a census of electric utilities.  Beginning in 1996, data also include energy</t>
  </si>
  <si>
    <t>service providers selling to retail customers.</t>
  </si>
  <si>
    <r>
      <t>3</t>
    </r>
    <r>
      <rPr>
        <sz val="7"/>
        <rFont val="Arial"/>
        <family val="2"/>
      </rPr>
      <t>Transportation sector, including railroads and railways.</t>
    </r>
  </si>
  <si>
    <t>Web Page:  For related information, see http://www.eia.doe.gov/fuelelectric.html.</t>
  </si>
  <si>
    <r>
      <t>4</t>
    </r>
    <r>
      <rPr>
        <sz val="7"/>
        <rFont val="Arial"/>
        <family val="2"/>
      </rPr>
      <t>Public street and highway lighting, interdepartmental sales, other sales to public authorities, agriculture</t>
    </r>
  </si>
  <si>
    <r>
      <t>Sources:  </t>
    </r>
    <r>
      <rPr>
        <sz val="7"/>
        <rFont val="Symbol"/>
        <family val="1"/>
      </rPr>
      <t>·  </t>
    </r>
    <r>
      <rPr>
        <sz val="7"/>
        <rFont val="Arial"/>
        <family val="2"/>
      </rPr>
      <t>1960-September 1977Federal Power Commission, Form FPC-5, "Monthly Statement of</t>
    </r>
  </si>
  <si>
    <t>and irrigation, and transportation including railroads and railways.</t>
  </si>
  <si>
    <r>
      <t>Electric Operating Revenues and Income."  </t>
    </r>
    <r>
      <rPr>
        <sz val="7"/>
        <rFont val="Symbol"/>
        <family val="1"/>
      </rPr>
      <t>·  </t>
    </r>
    <r>
      <rPr>
        <sz val="7"/>
        <rFont val="Arial"/>
        <family val="2"/>
      </rPr>
      <t>October 1977-February 1980Federal Energy Regulatory</t>
    </r>
  </si>
  <si>
    <t>Commission (FERC), Form FPC-5, "Monthly Statement of Electric Operating Revenues and Income."</t>
  </si>
  <si>
    <r>
      <t>·  </t>
    </r>
    <r>
      <rPr>
        <sz val="7"/>
        <rFont val="Arial"/>
        <family val="2"/>
      </rPr>
      <t>March 1980-1982FERC, Form FERC-5, "Electric Utility Company Monthly Statement."</t>
    </r>
  </si>
  <si>
    <r>
      <t>·  </t>
    </r>
    <r>
      <rPr>
        <sz val="7"/>
        <rFont val="Arial"/>
        <family val="2"/>
      </rPr>
      <t>1983Energy Information Administration (EIA), Form EIA-826, "Electric Utility Company Monthly</t>
    </r>
  </si>
  <si>
    <r>
      <t>Statement."  </t>
    </r>
    <r>
      <rPr>
        <sz val="7"/>
        <rFont val="Symbol"/>
        <family val="1"/>
      </rPr>
      <t>·  </t>
    </r>
    <r>
      <rPr>
        <sz val="7"/>
        <rFont val="Arial"/>
        <family val="2"/>
      </rPr>
      <t>1984-1990EIA, Form EIA-861, "Annual Electric Utility Report."  </t>
    </r>
    <r>
      <rPr>
        <sz val="7"/>
        <rFont val="Symbol"/>
        <family val="1"/>
      </rPr>
      <t>·  </t>
    </r>
    <r>
      <rPr>
        <sz val="7"/>
        <rFont val="Arial"/>
        <family val="2"/>
      </rPr>
      <t>1991 forwardEIA, </t>
    </r>
    <r>
      <rPr>
        <i/>
        <sz val="7"/>
        <rFont val="Arial"/>
        <family val="2"/>
      </rPr>
      <t>Electric</t>
    </r>
  </si>
  <si>
    <r>
      <t>Power Monthly </t>
    </r>
    <r>
      <rPr>
        <sz val="7"/>
        <rFont val="Arial"/>
        <family val="2"/>
      </rPr>
      <t>(March 2006), Table 5.3.</t>
    </r>
  </si>
  <si>
    <r>
      <t>5</t>
    </r>
    <r>
      <rPr>
        <sz val="7"/>
        <rFont val="Arial"/>
        <family val="2"/>
      </rPr>
      <t>In chained (2000) dollars, calculated by using gross domestic product implicit price deflators.  See</t>
    </r>
  </si>
  <si>
    <t>Table D1.</t>
  </si>
  <si>
    <r>
      <t>Figure 47.  Average Real</t>
    </r>
    <r>
      <rPr>
        <b/>
        <vertAlign val="superscript"/>
        <sz val="14"/>
        <color indexed="8"/>
        <rFont val="Arial"/>
        <family val="2"/>
      </rPr>
      <t>1</t>
    </r>
    <r>
      <rPr>
        <b/>
        <sz val="14"/>
        <color indexed="8"/>
        <rFont val="Arial"/>
        <family val="2"/>
      </rPr>
      <t xml:space="preserve"> Retail Prices of Electricity by Sector</t>
    </r>
  </si>
  <si>
    <r>
      <t>1</t>
    </r>
    <r>
      <rPr>
        <sz val="8"/>
        <color indexed="8"/>
        <rFont val="Arial"/>
        <family val="2"/>
      </rPr>
      <t>In chained (2000) dollars, calculated by using domestic product implicit price deflators.</t>
    </r>
  </si>
  <si>
    <t>Diesel Fuel Cost per Gallon</t>
  </si>
  <si>
    <t>Using Actual Electric Power and Diesel Fuel Costs</t>
  </si>
  <si>
    <t>Cost per 1,000 GTM</t>
  </si>
  <si>
    <t>Operating Cost per 1,000 GTM</t>
  </si>
  <si>
    <t>Catenary Pole Replacement</t>
  </si>
  <si>
    <t>Table 3-8:  Sales Price of Transportation Fuel to End-Users (Current ¢ / gallon)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</si>
  <si>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</si>
  <si>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</si>
  <si>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</si>
  <si>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</si>
  <si>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</si>
  <si>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</si>
  <si>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</si>
  <si>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</si>
  <si>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</si>
  <si>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</si>
  <si>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</si>
  <si>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</si>
  <si>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</si>
  <si>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P</t>
    </r>
    <r>
      <rPr>
        <b/>
        <sz val="11"/>
        <rFont val="Arial"/>
        <family val="2"/>
      </rPr>
      <t>2001</t>
    </r>
  </si>
  <si>
    <t>Aviation fuel (excluding taxes)</t>
  </si>
  <si>
    <r>
      <t>Aviation gasoline</t>
    </r>
    <r>
      <rPr>
        <vertAlign val="superscript"/>
        <sz val="11"/>
        <rFont val="Arial"/>
        <family val="2"/>
      </rPr>
      <t>a</t>
    </r>
  </si>
  <si>
    <r>
      <t>R</t>
    </r>
    <r>
      <rPr>
        <sz val="11"/>
        <rFont val="Arial"/>
        <family val="2"/>
      </rPr>
      <t>130.6</t>
    </r>
  </si>
  <si>
    <r>
      <t>Jet fuel kerosene</t>
    </r>
    <r>
      <rPr>
        <vertAlign val="superscript"/>
        <sz val="11"/>
        <rFont val="Arial"/>
        <family val="2"/>
      </rPr>
      <t>a</t>
    </r>
  </si>
  <si>
    <r>
      <t>R</t>
    </r>
    <r>
      <rPr>
        <sz val="11"/>
        <rFont val="Arial"/>
        <family val="2"/>
      </rPr>
      <t>89.9</t>
    </r>
  </si>
  <si>
    <t>Highway fuel (including taxes)</t>
  </si>
  <si>
    <r>
      <t>Gasoline, premium</t>
    </r>
    <r>
      <rPr>
        <vertAlign val="superscript"/>
        <sz val="11"/>
        <rFont val="Arial"/>
        <family val="2"/>
      </rPr>
      <t>b</t>
    </r>
  </si>
  <si>
    <t>N</t>
  </si>
  <si>
    <r>
      <t>Gasoline, regular</t>
    </r>
    <r>
      <rPr>
        <vertAlign val="superscript"/>
        <sz val="11"/>
        <rFont val="Arial"/>
        <family val="2"/>
      </rPr>
      <t>b</t>
    </r>
  </si>
  <si>
    <t>Gasoline, all types</t>
  </si>
  <si>
    <r>
      <t>Diesel no. 2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(excluding taxes)</t>
    </r>
    <r>
      <rPr>
        <vertAlign val="superscript"/>
        <sz val="11"/>
        <rFont val="Arial"/>
        <family val="2"/>
      </rPr>
      <t>a</t>
    </r>
  </si>
  <si>
    <r>
      <t>R</t>
    </r>
    <r>
      <rPr>
        <sz val="11"/>
        <rFont val="Arial"/>
        <family val="2"/>
      </rPr>
      <t>93.5</t>
    </r>
  </si>
  <si>
    <t>Railroad fuel</t>
  </si>
  <si>
    <t>Diesel</t>
  </si>
  <si>
    <r>
      <t>KEY:</t>
    </r>
    <r>
      <rPr>
        <sz val="9"/>
        <rFont val="Arial"/>
        <family val="2"/>
      </rPr>
      <t xml:space="preserve">  N = data do not exist; P = preliminary; R = revised.</t>
    </r>
  </si>
  <si>
    <r>
      <t>a</t>
    </r>
    <r>
      <rPr>
        <sz val="9"/>
        <rFont val="Arial"/>
        <family val="2"/>
      </rPr>
      <t xml:space="preserve"> Sales to end-users (those sales made directly to the ultimate consumer, including bulk customers in agriculture, industry, and utility).</t>
    </r>
  </si>
  <si>
    <r>
      <t>b</t>
    </r>
    <r>
      <rPr>
        <sz val="9"/>
        <rFont val="Arial"/>
        <family val="2"/>
      </rPr>
      <t xml:space="preserve"> Average retail price.</t>
    </r>
  </si>
  <si>
    <t>SOURCES</t>
  </si>
  <si>
    <t>All data except railroad fuel:</t>
  </si>
  <si>
    <r>
      <t>U.S. Department of Energy, Energy Information Administration,</t>
    </r>
    <r>
      <rPr>
        <i/>
        <sz val="9"/>
        <rFont val="Arial"/>
        <family val="2"/>
      </rPr>
      <t xml:space="preserve"> Monthly Energy Review </t>
    </r>
    <r>
      <rPr>
        <sz val="9"/>
        <rFont val="Arial"/>
        <family val="2"/>
      </rPr>
      <t>(Washington, DC: August 2002), tables 9.4 and 9.7.</t>
    </r>
  </si>
  <si>
    <t>Railroad fuel:</t>
  </si>
  <si>
    <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2001), p. 61, and personal communication, Aug. 12, 2002.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</si>
</sst>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00_);[Red]\(&quot;$&quot;#,##0.0000\)"/>
    <numFmt numFmtId="170" formatCode="0.0000"/>
    <numFmt numFmtId="171" formatCode="&quot;$&quot;#,##0.00"/>
    <numFmt numFmtId="172" formatCode="&quot;$&quot;#,##0.000"/>
    <numFmt numFmtId="173" formatCode="&quot;$&quot;#,##0.0000"/>
    <numFmt numFmtId="174" formatCode="&quot;$&quot;#,##0.00000"/>
    <numFmt numFmtId="175" formatCode="#,##0.0"/>
    <numFmt numFmtId="176" formatCode="###0.00_)"/>
    <numFmt numFmtId="177" formatCode="0.0"/>
  </numFmts>
  <fonts count="7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7"/>
      <name val="Arial"/>
      <family val="2"/>
    </font>
    <font>
      <vertAlign val="superscript"/>
      <sz val="5"/>
      <name val="Arial"/>
      <family val="2"/>
    </font>
    <font>
      <sz val="7"/>
      <name val="Arial"/>
      <family val="2"/>
    </font>
    <font>
      <sz val="5"/>
      <name val="Arial"/>
      <family val="2"/>
    </font>
    <font>
      <sz val="7"/>
      <name val="Symbol"/>
      <family val="1"/>
    </font>
    <font>
      <i/>
      <sz val="7"/>
      <name val="Arial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Helv"/>
      <family val="0"/>
    </font>
    <font>
      <b/>
      <vertAlign val="superscript"/>
      <sz val="11"/>
      <name val="Arial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5.5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1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5" fillId="0" borderId="3" applyNumberFormat="0">
      <alignment horizontal="right"/>
      <protection/>
    </xf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1" fillId="0" borderId="3">
      <alignment horizontal="left"/>
      <protection/>
    </xf>
    <xf numFmtId="0" fontId="27" fillId="0" borderId="3">
      <alignment horizontal="left" vertical="center"/>
      <protection/>
    </xf>
    <xf numFmtId="0" fontId="21" fillId="30" borderId="0">
      <alignment horizontal="centerContinuous" wrapText="1"/>
      <protection/>
    </xf>
    <xf numFmtId="0" fontId="16" fillId="0" borderId="0" applyNumberFormat="0" applyFill="0" applyBorder="0" applyAlignment="0" applyProtection="0"/>
    <xf numFmtId="0" fontId="70" fillId="31" borderId="1" applyNumberFormat="0" applyAlignment="0" applyProtection="0"/>
    <xf numFmtId="0" fontId="71" fillId="0" borderId="7" applyNumberFormat="0" applyFill="0" applyAlignment="0" applyProtection="0"/>
    <xf numFmtId="0" fontId="72" fillId="32" borderId="0" applyNumberFormat="0" applyBorder="0" applyAlignment="0" applyProtection="0"/>
    <xf numFmtId="0" fontId="0" fillId="33" borderId="8" applyNumberFormat="0" applyFont="0" applyAlignment="0" applyProtection="0"/>
    <xf numFmtId="0" fontId="73" fillId="27" borderId="9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>
      <alignment horizontal="left" vertical="top"/>
      <protection/>
    </xf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34" borderId="0" xfId="0" applyFill="1" applyAlignment="1">
      <alignment/>
    </xf>
    <xf numFmtId="6" fontId="0" fillId="34" borderId="0" xfId="0" applyNumberFormat="1" applyFill="1" applyAlignment="1">
      <alignment/>
    </xf>
    <xf numFmtId="0" fontId="0" fillId="35" borderId="13" xfId="0" applyFill="1" applyBorder="1" applyAlignment="1">
      <alignment/>
    </xf>
    <xf numFmtId="168" fontId="0" fillId="36" borderId="13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9" fontId="0" fillId="35" borderId="13" xfId="0" applyNumberFormat="1" applyFill="1" applyBorder="1" applyAlignment="1">
      <alignment/>
    </xf>
    <xf numFmtId="9" fontId="0" fillId="36" borderId="13" xfId="0" applyNumberFormat="1" applyFill="1" applyBorder="1" applyAlignment="1">
      <alignment/>
    </xf>
    <xf numFmtId="168" fontId="0" fillId="36" borderId="14" xfId="0" applyNumberFormat="1" applyFill="1" applyBorder="1" applyAlignment="1">
      <alignment/>
    </xf>
    <xf numFmtId="1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/>
    </xf>
    <xf numFmtId="6" fontId="0" fillId="35" borderId="13" xfId="0" applyNumberFormat="1" applyFill="1" applyBorder="1" applyAlignment="1">
      <alignment/>
    </xf>
    <xf numFmtId="6" fontId="0" fillId="35" borderId="14" xfId="0" applyNumberFormat="1" applyFill="1" applyBorder="1" applyAlignment="1">
      <alignment/>
    </xf>
    <xf numFmtId="6" fontId="0" fillId="36" borderId="13" xfId="0" applyNumberFormat="1" applyFill="1" applyBorder="1" applyAlignment="1">
      <alignment/>
    </xf>
    <xf numFmtId="169" fontId="0" fillId="36" borderId="13" xfId="0" applyNumberFormat="1" applyFill="1" applyBorder="1" applyAlignment="1">
      <alignment/>
    </xf>
    <xf numFmtId="6" fontId="0" fillId="36" borderId="15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6" fontId="0" fillId="36" borderId="16" xfId="0" applyNumberFormat="1" applyFill="1" applyBorder="1" applyAlignment="1">
      <alignment/>
    </xf>
    <xf numFmtId="6" fontId="0" fillId="36" borderId="17" xfId="0" applyNumberFormat="1" applyFill="1" applyBorder="1" applyAlignment="1">
      <alignment/>
    </xf>
    <xf numFmtId="0" fontId="0" fillId="35" borderId="18" xfId="0" applyFill="1" applyBorder="1" applyAlignment="1">
      <alignment/>
    </xf>
    <xf numFmtId="3" fontId="0" fillId="35" borderId="18" xfId="0" applyNumberFormat="1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8" xfId="0" applyNumberFormat="1" applyFill="1" applyBorder="1" applyAlignment="1">
      <alignment/>
    </xf>
    <xf numFmtId="0" fontId="0" fillId="36" borderId="0" xfId="0" applyFill="1" applyAlignment="1">
      <alignment/>
    </xf>
    <xf numFmtId="170" fontId="0" fillId="36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9" fontId="0" fillId="34" borderId="13" xfId="0" applyNumberFormat="1" applyFill="1" applyBorder="1" applyAlignment="1">
      <alignment/>
    </xf>
    <xf numFmtId="10" fontId="0" fillId="35" borderId="13" xfId="0" applyNumberFormat="1" applyFill="1" applyBorder="1" applyAlignment="1">
      <alignment/>
    </xf>
    <xf numFmtId="0" fontId="0" fillId="34" borderId="0" xfId="0" applyFill="1" applyAlignment="1">
      <alignment wrapText="1"/>
    </xf>
    <xf numFmtId="171" fontId="0" fillId="36" borderId="13" xfId="0" applyNumberFormat="1" applyFill="1" applyBorder="1" applyAlignment="1">
      <alignment/>
    </xf>
    <xf numFmtId="16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6" fontId="0" fillId="35" borderId="0" xfId="0" applyNumberFormat="1" applyFill="1" applyBorder="1" applyAlignment="1">
      <alignment/>
    </xf>
    <xf numFmtId="168" fontId="0" fillId="36" borderId="0" xfId="0" applyNumberFormat="1" applyFill="1" applyBorder="1" applyAlignment="1">
      <alignment/>
    </xf>
    <xf numFmtId="168" fontId="0" fillId="36" borderId="19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170" fontId="0" fillId="35" borderId="13" xfId="0" applyNumberFormat="1" applyFill="1" applyBorder="1" applyAlignment="1">
      <alignment/>
    </xf>
    <xf numFmtId="10" fontId="0" fillId="35" borderId="14" xfId="0" applyNumberFormat="1" applyFill="1" applyBorder="1" applyAlignment="1">
      <alignment/>
    </xf>
    <xf numFmtId="3" fontId="0" fillId="35" borderId="14" xfId="0" applyNumberFormat="1" applyFill="1" applyBorder="1" applyAlignment="1">
      <alignment/>
    </xf>
    <xf numFmtId="4" fontId="0" fillId="36" borderId="13" xfId="0" applyNumberFormat="1" applyFill="1" applyBorder="1" applyAlignment="1">
      <alignment/>
    </xf>
    <xf numFmtId="4" fontId="0" fillId="36" borderId="18" xfId="0" applyNumberFormat="1" applyFill="1" applyBorder="1" applyAlignment="1">
      <alignment/>
    </xf>
    <xf numFmtId="9" fontId="0" fillId="36" borderId="18" xfId="0" applyNumberFormat="1" applyFill="1" applyBorder="1" applyAlignment="1">
      <alignment/>
    </xf>
    <xf numFmtId="168" fontId="0" fillId="36" borderId="18" xfId="0" applyNumberFormat="1" applyFill="1" applyBorder="1" applyAlignment="1">
      <alignment/>
    </xf>
    <xf numFmtId="1" fontId="0" fillId="36" borderId="18" xfId="0" applyNumberFormat="1" applyFill="1" applyBorder="1" applyAlignment="1">
      <alignment/>
    </xf>
    <xf numFmtId="6" fontId="0" fillId="36" borderId="18" xfId="0" applyNumberFormat="1" applyFill="1" applyBorder="1" applyAlignment="1">
      <alignment/>
    </xf>
    <xf numFmtId="0" fontId="0" fillId="36" borderId="14" xfId="0" applyFill="1" applyBorder="1" applyAlignment="1">
      <alignment/>
    </xf>
    <xf numFmtId="3" fontId="0" fillId="36" borderId="14" xfId="0" applyNumberFormat="1" applyFill="1" applyBorder="1" applyAlignment="1">
      <alignment/>
    </xf>
    <xf numFmtId="171" fontId="0" fillId="36" borderId="14" xfId="0" applyNumberFormat="1" applyFill="1" applyBorder="1" applyAlignment="1">
      <alignment/>
    </xf>
    <xf numFmtId="6" fontId="0" fillId="36" borderId="14" xfId="0" applyNumberFormat="1" applyFill="1" applyBorder="1" applyAlignment="1">
      <alignment/>
    </xf>
    <xf numFmtId="168" fontId="2" fillId="37" borderId="13" xfId="0" applyNumberFormat="1" applyFont="1" applyFill="1" applyBorder="1" applyAlignment="1">
      <alignment/>
    </xf>
    <xf numFmtId="2" fontId="0" fillId="36" borderId="13" xfId="0" applyNumberFormat="1" applyFill="1" applyBorder="1" applyAlignment="1">
      <alignment/>
    </xf>
    <xf numFmtId="1" fontId="0" fillId="35" borderId="13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6" fontId="0" fillId="34" borderId="0" xfId="0" applyNumberFormat="1" applyFill="1" applyBorder="1" applyAlignment="1">
      <alignment/>
    </xf>
    <xf numFmtId="0" fontId="0" fillId="0" borderId="20" xfId="0" applyBorder="1" applyAlignment="1">
      <alignment/>
    </xf>
    <xf numFmtId="168" fontId="0" fillId="34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shrinkToFit="1"/>
    </xf>
    <xf numFmtId="1" fontId="0" fillId="34" borderId="18" xfId="0" applyNumberFormat="1" applyFill="1" applyBorder="1" applyAlignment="1">
      <alignment/>
    </xf>
    <xf numFmtId="1" fontId="0" fillId="34" borderId="13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172" fontId="0" fillId="36" borderId="0" xfId="0" applyNumberFormat="1" applyFill="1" applyBorder="1" applyAlignment="1">
      <alignment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8" fillId="38" borderId="15" xfId="0" applyFont="1" applyFill="1" applyBorder="1" applyAlignment="1">
      <alignment horizontal="left" wrapText="1"/>
    </xf>
    <xf numFmtId="0" fontId="8" fillId="38" borderId="15" xfId="0" applyFont="1" applyFill="1" applyBorder="1" applyAlignment="1">
      <alignment horizontal="right" wrapText="1"/>
    </xf>
    <xf numFmtId="0" fontId="0" fillId="38" borderId="15" xfId="0" applyFill="1" applyBorder="1" applyAlignment="1">
      <alignment horizontal="right" wrapText="1"/>
    </xf>
    <xf numFmtId="0" fontId="9" fillId="38" borderId="15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57" applyAlignment="1" applyProtection="1">
      <alignment horizontal="left" wrapText="1"/>
      <protection/>
    </xf>
    <xf numFmtId="0" fontId="15" fillId="0" borderId="0" xfId="0" applyFont="1" applyAlignment="1">
      <alignment/>
    </xf>
    <xf numFmtId="168" fontId="0" fillId="34" borderId="0" xfId="0" applyNumberFormat="1" applyFill="1" applyBorder="1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9" fillId="0" borderId="21" xfId="0" applyFont="1" applyFill="1" applyBorder="1" applyAlignment="1">
      <alignment horizontal="center"/>
    </xf>
    <xf numFmtId="49" fontId="20" fillId="0" borderId="21" xfId="54" applyNumberFormat="1" applyFont="1" applyFill="1" applyBorder="1" applyAlignment="1">
      <alignment horizontal="center"/>
      <protection/>
    </xf>
    <xf numFmtId="49" fontId="20" fillId="0" borderId="21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 vertical="top"/>
    </xf>
    <xf numFmtId="0" fontId="20" fillId="0" borderId="0" xfId="56" applyFont="1" applyFill="1" applyBorder="1" applyAlignment="1">
      <alignment horizontal="left"/>
      <protection/>
    </xf>
    <xf numFmtId="175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19" fillId="0" borderId="0" xfId="56" applyFont="1" applyFill="1" applyBorder="1" applyAlignment="1">
      <alignment horizontal="left" vertical="top"/>
      <protection/>
    </xf>
    <xf numFmtId="175" fontId="19" fillId="0" borderId="0" xfId="46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right"/>
    </xf>
    <xf numFmtId="175" fontId="24" fillId="0" borderId="0" xfId="46" applyNumberFormat="1" applyFont="1" applyFill="1" applyBorder="1" applyAlignment="1">
      <alignment horizontal="right" vertical="top"/>
      <protection/>
    </xf>
    <xf numFmtId="0" fontId="19" fillId="0" borderId="0" xfId="0" applyNumberFormat="1" applyFont="1" applyFill="1" applyAlignment="1">
      <alignment horizontal="right"/>
    </xf>
    <xf numFmtId="175" fontId="20" fillId="0" borderId="0" xfId="46" applyNumberFormat="1" applyFont="1" applyFill="1" applyBorder="1" applyAlignment="1">
      <alignment horizontal="right"/>
      <protection/>
    </xf>
    <xf numFmtId="175" fontId="19" fillId="0" borderId="0" xfId="0" applyNumberFormat="1" applyFont="1" applyFill="1" applyAlignment="1">
      <alignment horizontal="right"/>
    </xf>
    <xf numFmtId="0" fontId="19" fillId="0" borderId="0" xfId="56" applyFont="1" applyFill="1" applyBorder="1" applyAlignment="1">
      <alignment horizontal="left"/>
      <protection/>
    </xf>
    <xf numFmtId="0" fontId="19" fillId="0" borderId="22" xfId="0" applyFont="1" applyFill="1" applyBorder="1" applyAlignment="1">
      <alignment/>
    </xf>
    <xf numFmtId="175" fontId="19" fillId="0" borderId="22" xfId="46" applyNumberFormat="1" applyFont="1" applyFill="1" applyBorder="1" applyAlignment="1">
      <alignment horizontal="right"/>
      <protection/>
    </xf>
    <xf numFmtId="177" fontId="19" fillId="0" borderId="22" xfId="0" applyNumberFormat="1" applyFont="1" applyFill="1" applyBorder="1" applyAlignment="1">
      <alignment horizontal="right"/>
    </xf>
    <xf numFmtId="0" fontId="26" fillId="0" borderId="0" xfId="55" applyFont="1" applyFill="1" applyBorder="1" applyAlignment="1">
      <alignment horizontal="left"/>
      <protection/>
    </xf>
    <xf numFmtId="0" fontId="28" fillId="0" borderId="0" xfId="0" applyFont="1" applyFill="1" applyAlignment="1">
      <alignment horizontal="left"/>
    </xf>
    <xf numFmtId="0" fontId="26" fillId="0" borderId="0" xfId="55" applyFont="1" applyFill="1" applyBorder="1" applyAlignment="1">
      <alignment horizontal="left" wrapText="1"/>
      <protection/>
    </xf>
    <xf numFmtId="175" fontId="28" fillId="0" borderId="0" xfId="46" applyNumberFormat="1" applyFont="1" applyFill="1" applyBorder="1" applyAlignment="1">
      <alignment horizontal="left"/>
      <protection/>
    </xf>
    <xf numFmtId="177" fontId="28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28" fillId="0" borderId="0" xfId="0" applyNumberFormat="1" applyFont="1" applyFill="1" applyAlignment="1">
      <alignment horizontal="left"/>
    </xf>
    <xf numFmtId="0" fontId="1" fillId="39" borderId="23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39" borderId="19" xfId="0" applyFill="1" applyBorder="1" applyAlignment="1">
      <alignment/>
    </xf>
    <xf numFmtId="0" fontId="0" fillId="39" borderId="28" xfId="0" applyFill="1" applyBorder="1" applyAlignment="1">
      <alignment/>
    </xf>
    <xf numFmtId="0" fontId="1" fillId="39" borderId="24" xfId="0" applyFont="1" applyFill="1" applyBorder="1" applyAlignment="1">
      <alignment horizontal="left" vertical="center"/>
    </xf>
    <xf numFmtId="0" fontId="1" fillId="39" borderId="25" xfId="0" applyFont="1" applyFill="1" applyBorder="1" applyAlignment="1">
      <alignment horizontal="left" vertical="center"/>
    </xf>
    <xf numFmtId="0" fontId="1" fillId="39" borderId="26" xfId="0" applyFont="1" applyFill="1" applyBorder="1" applyAlignment="1">
      <alignment horizontal="left" vertical="center"/>
    </xf>
    <xf numFmtId="0" fontId="1" fillId="39" borderId="21" xfId="0" applyFont="1" applyFill="1" applyBorder="1" applyAlignment="1">
      <alignment horizontal="left" vertical="center"/>
    </xf>
    <xf numFmtId="0" fontId="1" fillId="39" borderId="27" xfId="0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horizontal="left" wrapText="1"/>
    </xf>
    <xf numFmtId="0" fontId="26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1" fillId="0" borderId="22" xfId="65" applyFont="1" applyFill="1" applyBorder="1" applyAlignment="1">
      <alignment horizontal="left" wrapText="1"/>
      <protection/>
    </xf>
    <xf numFmtId="0" fontId="0" fillId="0" borderId="22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26" fillId="0" borderId="29" xfId="55" applyFont="1" applyFill="1" applyBorder="1" applyAlignment="1">
      <alignment horizontal="left" wrapText="1"/>
      <protection/>
    </xf>
    <xf numFmtId="0" fontId="29" fillId="0" borderId="0" xfId="0" applyFont="1" applyFill="1" applyBorder="1" applyAlignment="1">
      <alignment horizontal="left" wrapText="1" shrinkToFit="1"/>
    </xf>
    <xf numFmtId="0" fontId="0" fillId="0" borderId="0" xfId="0" applyFont="1" applyFill="1" applyAlignment="1">
      <alignment horizontal="left" wrapText="1" shrinkToFit="1"/>
    </xf>
    <xf numFmtId="0" fontId="26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3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8" fillId="0" borderId="34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6" fillId="0" borderId="3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Side" xfId="54"/>
    <cellStyle name="Hed Side_Sheet1 (2)_2" xfId="55"/>
    <cellStyle name="Hed Top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itle-1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Comparative Operating Costs per MGTM</a:t>
            </a:r>
          </a:p>
        </c:rich>
      </c:tx>
      <c:layout>
        <c:manualLayout>
          <c:xMode val="factor"/>
          <c:yMode val="factor"/>
          <c:x val="-0.07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49"/>
          <c:w val="0.60075"/>
          <c:h val="0.951"/>
        </c:manualLayout>
      </c:layout>
      <c:lineChart>
        <c:grouping val="standard"/>
        <c:varyColors val="0"/>
        <c:ser>
          <c:idx val="0"/>
          <c:order val="0"/>
          <c:tx>
            <c:v>Electrification Costs per MGTM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'Econometric Model'!$F$17:$AK$17</c:f>
              <c:numCache/>
            </c:numRef>
          </c:cat>
          <c:val>
            <c:numRef>
              <c:f>'Econometric Model'!$F$89:$AK$89</c:f>
              <c:numCache/>
            </c:numRef>
          </c:val>
          <c:smooth val="0"/>
        </c:ser>
        <c:ser>
          <c:idx val="1"/>
          <c:order val="1"/>
          <c:tx>
            <c:v>Diesel Costs per MGTM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'Econometric Model'!$F$17:$AK$17</c:f>
              <c:numCache/>
            </c:numRef>
          </c:cat>
          <c:val>
            <c:numRef>
              <c:f>'Econometric Model'!$F$143:$AK$143</c:f>
              <c:numCache/>
            </c:numRef>
          </c:val>
          <c:smooth val="0"/>
        </c:ser>
        <c:marker val="1"/>
        <c:axId val="44834533"/>
        <c:axId val="857614"/>
      </c:lineChart>
      <c:catAx>
        <c:axId val="448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57614"/>
        <c:crosses val="autoZero"/>
        <c:auto val="1"/>
        <c:lblOffset val="100"/>
        <c:tickLblSkip val="2"/>
        <c:noMultiLvlLbl val="0"/>
      </c:catAx>
      <c:valAx>
        <c:axId val="857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3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75"/>
          <c:y val="0.129"/>
          <c:w val="0.245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7647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Comparative Operating Costs per MGTM</a:t>
            </a:r>
          </a:p>
        </c:rich>
      </c:tx>
      <c:layout>
        <c:manualLayout>
          <c:xMode val="factor"/>
          <c:yMode val="factor"/>
          <c:x val="-0.07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48"/>
          <c:w val="0.60075"/>
          <c:h val="0.952"/>
        </c:manualLayout>
      </c:layout>
      <c:lineChart>
        <c:grouping val="standard"/>
        <c:varyColors val="0"/>
        <c:ser>
          <c:idx val="0"/>
          <c:order val="0"/>
          <c:tx>
            <c:v>Electrification Costs per MGTM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'Econometric Model'!$F$17:$AK$17</c:f>
              <c:numCach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'Actual Costs'!$F$88:$AK$88</c:f>
              <c:numCache/>
            </c:numRef>
          </c:val>
          <c:smooth val="0"/>
        </c:ser>
        <c:ser>
          <c:idx val="1"/>
          <c:order val="1"/>
          <c:tx>
            <c:v>Diesel Costs per MGTM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'Econometric Model'!$F$17:$AK$17</c:f>
              <c:numCach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'Actual Costs'!$F$142:$AK$142</c:f>
              <c:numCache/>
            </c:numRef>
          </c:val>
          <c:smooth val="0"/>
        </c:ser>
        <c:marker val="1"/>
        <c:axId val="7718527"/>
        <c:axId val="2357880"/>
      </c:lineChart>
      <c:catAx>
        <c:axId val="7718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880"/>
        <c:crosses val="autoZero"/>
        <c:auto val="1"/>
        <c:lblOffset val="100"/>
        <c:tickLblSkip val="2"/>
        <c:noMultiLvlLbl val="0"/>
      </c:catAx>
      <c:valAx>
        <c:axId val="2357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18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25"/>
          <c:y val="0.62575"/>
          <c:w val="0.24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7647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9525</xdr:colOff>
      <xdr:row>0</xdr:row>
      <xdr:rowOff>133350</xdr:rowOff>
    </xdr:from>
    <xdr:to>
      <xdr:col>40</xdr:col>
      <xdr:colOff>38100</xdr:colOff>
      <xdr:row>8</xdr:row>
      <xdr:rowOff>47625</xdr:rowOff>
    </xdr:to>
    <xdr:pic>
      <xdr:nvPicPr>
        <xdr:cNvPr id="1" name="Picture 31" descr="MIL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13600" y="133350"/>
          <a:ext cx="1857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0</xdr:row>
      <xdr:rowOff>57150</xdr:rowOff>
    </xdr:from>
    <xdr:to>
      <xdr:col>17</xdr:col>
      <xdr:colOff>523875</xdr:colOff>
      <xdr:row>15</xdr:row>
      <xdr:rowOff>161925</xdr:rowOff>
    </xdr:to>
    <xdr:graphicFrame>
      <xdr:nvGraphicFramePr>
        <xdr:cNvPr id="2" name="Chart 41"/>
        <xdr:cNvGraphicFramePr/>
      </xdr:nvGraphicFramePr>
      <xdr:xfrm>
        <a:off x="7439025" y="57150"/>
        <a:ext cx="85058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1</xdr:row>
      <xdr:rowOff>0</xdr:rowOff>
    </xdr:from>
    <xdr:to>
      <xdr:col>11</xdr:col>
      <xdr:colOff>561975</xdr:colOff>
      <xdr:row>3</xdr:row>
      <xdr:rowOff>85725</xdr:rowOff>
    </xdr:to>
    <xdr:pic>
      <xdr:nvPicPr>
        <xdr:cNvPr id="1" name="Picture 4" descr="MIL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09550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75</xdr:row>
      <xdr:rowOff>19050</xdr:rowOff>
    </xdr:from>
    <xdr:to>
      <xdr:col>15</xdr:col>
      <xdr:colOff>190500</xdr:colOff>
      <xdr:row>102</xdr:row>
      <xdr:rowOff>9525</xdr:rowOff>
    </xdr:to>
    <xdr:pic>
      <xdr:nvPicPr>
        <xdr:cNvPr id="1" name="Picture 1" descr="Average Real&lt;sup&gt;1&lt;/sup&gt; Retail Prices of Electricity by Sec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2201525"/>
          <a:ext cx="379095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133350</xdr:rowOff>
    </xdr:from>
    <xdr:to>
      <xdr:col>17</xdr:col>
      <xdr:colOff>533400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7496175" y="133350"/>
        <a:ext cx="90106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58"/>
  <sheetViews>
    <sheetView zoomScalePageLayoutView="0" workbookViewId="0" topLeftCell="A1">
      <pane xSplit="3" ySplit="17" topLeftCell="D64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E16" sqref="E16"/>
    </sheetView>
  </sheetViews>
  <sheetFormatPr defaultColWidth="9.140625" defaultRowHeight="12.75"/>
  <cols>
    <col min="1" max="1" width="1.7109375" style="0" customWidth="1"/>
    <col min="2" max="2" width="0.5625" style="0" customWidth="1"/>
    <col min="3" max="3" width="47.57421875" style="0" customWidth="1"/>
    <col min="4" max="4" width="13.7109375" style="0" customWidth="1"/>
    <col min="5" max="5" width="15.57421875" style="0" customWidth="1"/>
    <col min="6" max="6" width="14.8515625" style="0" bestFit="1" customWidth="1"/>
    <col min="7" max="7" width="13.57421875" style="0" customWidth="1"/>
    <col min="8" max="8" width="13.00390625" style="0" customWidth="1"/>
    <col min="9" max="9" width="11.8515625" style="0" customWidth="1"/>
    <col min="10" max="10" width="12.57421875" style="0" customWidth="1"/>
    <col min="11" max="11" width="11.421875" style="0" customWidth="1"/>
    <col min="12" max="12" width="11.7109375" style="0" customWidth="1"/>
    <col min="13" max="13" width="13.00390625" style="0" customWidth="1"/>
    <col min="14" max="14" width="12.00390625" style="0" customWidth="1"/>
    <col min="15" max="16" width="12.8515625" style="0" customWidth="1"/>
    <col min="17" max="17" width="12.421875" style="0" customWidth="1"/>
    <col min="18" max="19" width="12.140625" style="0" customWidth="1"/>
    <col min="20" max="20" width="13.140625" style="0" customWidth="1"/>
    <col min="21" max="21" width="13.28125" style="0" customWidth="1"/>
    <col min="22" max="22" width="12.421875" style="0" customWidth="1"/>
    <col min="23" max="23" width="13.28125" style="0" customWidth="1"/>
    <col min="24" max="25" width="12.8515625" style="0" customWidth="1"/>
    <col min="26" max="26" width="14.00390625" style="0" customWidth="1"/>
    <col min="27" max="27" width="13.140625" style="0" customWidth="1"/>
    <col min="28" max="28" width="12.7109375" style="0" customWidth="1"/>
    <col min="29" max="29" width="12.421875" style="0" customWidth="1"/>
    <col min="30" max="30" width="13.28125" style="0" customWidth="1"/>
    <col min="31" max="31" width="12.421875" style="0" customWidth="1"/>
    <col min="32" max="32" width="12.57421875" style="0" customWidth="1"/>
    <col min="33" max="33" width="12.7109375" style="0" customWidth="1"/>
    <col min="34" max="35" width="13.00390625" style="0" customWidth="1"/>
    <col min="36" max="36" width="12.7109375" style="0" customWidth="1"/>
    <col min="37" max="37" width="13.57421875" style="0" customWidth="1"/>
  </cols>
  <sheetData>
    <row r="2" spans="1:37" ht="12.75">
      <c r="A2" s="127"/>
      <c r="B2" s="127"/>
      <c r="C2" s="121" t="s">
        <v>94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3"/>
    </row>
    <row r="3" spans="1:37" ht="12.75">
      <c r="A3" s="128"/>
      <c r="B3" s="128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6"/>
    </row>
    <row r="4" spans="4:7" ht="27" customHeight="1">
      <c r="D4" s="72" t="s">
        <v>54</v>
      </c>
      <c r="E4" s="72" t="s">
        <v>55</v>
      </c>
      <c r="F4" s="72" t="s">
        <v>56</v>
      </c>
      <c r="G4" s="72" t="s">
        <v>57</v>
      </c>
    </row>
    <row r="5" spans="3:7" ht="13.5" customHeight="1" thickBot="1">
      <c r="C5" s="70" t="s">
        <v>46</v>
      </c>
      <c r="D5" s="14" t="s">
        <v>54</v>
      </c>
      <c r="E5" s="14" t="s">
        <v>55</v>
      </c>
      <c r="F5" s="14" t="s">
        <v>56</v>
      </c>
      <c r="G5" s="14" t="s">
        <v>57</v>
      </c>
    </row>
    <row r="6" spans="3:7" ht="13.5" thickTop="1">
      <c r="C6" t="s">
        <v>42</v>
      </c>
      <c r="D6" s="13">
        <f>E138</f>
        <v>19204998.90235183</v>
      </c>
      <c r="E6" s="13">
        <f>D84</f>
        <v>25776000</v>
      </c>
      <c r="F6" s="13">
        <f>E138</f>
        <v>19204998.90235183</v>
      </c>
      <c r="G6" s="13">
        <f>E84</f>
        <v>18284520</v>
      </c>
    </row>
    <row r="7" spans="3:7" ht="12.75">
      <c r="C7" t="str">
        <f>CONCATENATE("NPV, Capital Costs, 30 Years @ ",E19)</f>
        <v>NPV, Capital Costs, 30 Years @ 0.027</v>
      </c>
      <c r="F7" s="13">
        <f>E139</f>
        <v>39417479.94401422</v>
      </c>
      <c r="G7" s="13">
        <f>E85</f>
        <v>23781751.624938175</v>
      </c>
    </row>
    <row r="8" spans="3:7" ht="12.75">
      <c r="C8" t="str">
        <f>CONCATENATE("NPV, Capital Costs, 30 Years @ ",E20)</f>
        <v>NPV, Capital Costs, 30 Years @ 0.1</v>
      </c>
      <c r="F8" s="13">
        <f>E140</f>
        <v>131961459.36213228</v>
      </c>
      <c r="G8" s="13">
        <f>E86</f>
        <v>64551872.28462897</v>
      </c>
    </row>
    <row r="9" spans="3:7" ht="12.75">
      <c r="C9" t="str">
        <f>CONCATENATE("Total Operating Costs, 30 Years, @",E19)</f>
        <v>Total Operating Costs, 30 Years, @0.027</v>
      </c>
      <c r="F9" s="13">
        <f>E141</f>
        <v>561044580.3389511</v>
      </c>
      <c r="G9" s="13">
        <f>E87</f>
        <v>411038948.5462625</v>
      </c>
    </row>
    <row r="10" spans="3:7" ht="12.75">
      <c r="C10" t="str">
        <f>CONCATENATE("Total Operating Costs, 30 Years, @",E20)</f>
        <v>Total Operating Costs, 30 Years, @0.1</v>
      </c>
      <c r="F10" s="13">
        <f>E142</f>
        <v>2797677151.6718464</v>
      </c>
      <c r="G10" s="13">
        <f>E88</f>
        <v>1245735604.68084</v>
      </c>
    </row>
    <row r="11" spans="3:7" ht="12.75">
      <c r="C11" t="str">
        <f>CONCATENATE("Total Savings @ ",E19)</f>
        <v>Total Savings @ 0.027</v>
      </c>
      <c r="F11" s="13"/>
      <c r="G11" s="13">
        <f>F9-G9</f>
        <v>150005631.7926886</v>
      </c>
    </row>
    <row r="12" spans="3:7" ht="12.75">
      <c r="C12" t="str">
        <f>CONCATENATE("Total Savings @ ",E20)</f>
        <v>Total Savings @ 0.1</v>
      </c>
      <c r="F12" s="13"/>
      <c r="G12" s="13">
        <f>F10-G10</f>
        <v>1551941546.9910064</v>
      </c>
    </row>
    <row r="13" spans="3:7" ht="12.75">
      <c r="C13" s="77" t="s">
        <v>87</v>
      </c>
      <c r="F13" s="13"/>
      <c r="G13" s="64" t="str">
        <f>IF(G12&gt;F12,"Electrification","Dieselization")</f>
        <v>Electrification</v>
      </c>
    </row>
    <row r="14" spans="6:7" ht="12.75">
      <c r="F14" s="13"/>
      <c r="G14" s="13"/>
    </row>
    <row r="15" spans="3:16" ht="13.5" thickBot="1">
      <c r="C15" s="70" t="s">
        <v>47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6" ht="26.25" thickTop="1">
      <c r="C16" t="s">
        <v>48</v>
      </c>
      <c r="D16" s="1" t="s">
        <v>49</v>
      </c>
      <c r="E16" s="2" t="s">
        <v>50</v>
      </c>
      <c r="F16" t="s">
        <v>43</v>
      </c>
    </row>
    <row r="17" spans="3:37" ht="12.75">
      <c r="C17" s="3" t="s">
        <v>0</v>
      </c>
      <c r="D17">
        <v>1973</v>
      </c>
      <c r="E17">
        <v>1974</v>
      </c>
      <c r="F17">
        <v>1974</v>
      </c>
      <c r="G17">
        <v>1975</v>
      </c>
      <c r="H17">
        <v>1976</v>
      </c>
      <c r="I17">
        <v>1977</v>
      </c>
      <c r="J17">
        <v>1978</v>
      </c>
      <c r="K17">
        <v>1979</v>
      </c>
      <c r="L17">
        <v>1980</v>
      </c>
      <c r="M17">
        <v>1981</v>
      </c>
      <c r="N17">
        <v>1982</v>
      </c>
      <c r="O17">
        <v>1983</v>
      </c>
      <c r="P17">
        <v>1984</v>
      </c>
      <c r="Q17">
        <v>1985</v>
      </c>
      <c r="R17">
        <v>1986</v>
      </c>
      <c r="S17">
        <v>1987</v>
      </c>
      <c r="T17">
        <v>1988</v>
      </c>
      <c r="U17">
        <v>1989</v>
      </c>
      <c r="V17">
        <v>1990</v>
      </c>
      <c r="W17">
        <v>1991</v>
      </c>
      <c r="X17">
        <v>1992</v>
      </c>
      <c r="Y17">
        <v>1993</v>
      </c>
      <c r="Z17">
        <v>1994</v>
      </c>
      <c r="AA17">
        <v>1995</v>
      </c>
      <c r="AB17">
        <v>1996</v>
      </c>
      <c r="AC17">
        <v>1997</v>
      </c>
      <c r="AD17">
        <v>1998</v>
      </c>
      <c r="AE17">
        <v>1999</v>
      </c>
      <c r="AF17">
        <v>2000</v>
      </c>
      <c r="AG17">
        <v>2001</v>
      </c>
      <c r="AH17">
        <v>2002</v>
      </c>
      <c r="AI17">
        <v>2003</v>
      </c>
      <c r="AJ17">
        <v>2004</v>
      </c>
      <c r="AK17">
        <v>2005</v>
      </c>
    </row>
    <row r="18" spans="3:37" ht="12.75">
      <c r="C18" s="7" t="s">
        <v>45</v>
      </c>
      <c r="D18" s="19">
        <f>6347978+6347978*0.05*2</f>
        <v>6982775.8</v>
      </c>
      <c r="E18" s="19">
        <f>D18+D18*0.05</f>
        <v>7331914.59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3:37" ht="12.75">
      <c r="C19" s="7" t="s">
        <v>98</v>
      </c>
      <c r="D19" s="24">
        <v>2.7</v>
      </c>
      <c r="E19" s="41">
        <v>0.027</v>
      </c>
      <c r="F19" s="19">
        <f>E18</f>
        <v>7331914.59</v>
      </c>
      <c r="G19" s="19">
        <f>F19+F19*$E$19</f>
        <v>7529876.28393</v>
      </c>
      <c r="H19" s="19">
        <f aca="true" t="shared" si="0" ref="H19:AK19">G19+G19*$E$19</f>
        <v>7733182.94359611</v>
      </c>
      <c r="I19" s="19">
        <f t="shared" si="0"/>
        <v>7941978.883073205</v>
      </c>
      <c r="J19" s="19">
        <f t="shared" si="0"/>
        <v>8156412.312916182</v>
      </c>
      <c r="K19" s="19">
        <f t="shared" si="0"/>
        <v>8376635.445364919</v>
      </c>
      <c r="L19" s="19">
        <f t="shared" si="0"/>
        <v>8602804.602389771</v>
      </c>
      <c r="M19" s="19">
        <f t="shared" si="0"/>
        <v>8835080.326654295</v>
      </c>
      <c r="N19" s="19">
        <f t="shared" si="0"/>
        <v>9073627.49547396</v>
      </c>
      <c r="O19" s="19">
        <f t="shared" si="0"/>
        <v>9318615.437851757</v>
      </c>
      <c r="P19" s="19">
        <f t="shared" si="0"/>
        <v>9570218.054673754</v>
      </c>
      <c r="Q19" s="19">
        <f t="shared" si="0"/>
        <v>9828613.942149945</v>
      </c>
      <c r="R19" s="19">
        <f t="shared" si="0"/>
        <v>10093986.518587993</v>
      </c>
      <c r="S19" s="19">
        <f t="shared" si="0"/>
        <v>10366524.15458987</v>
      </c>
      <c r="T19" s="19">
        <f t="shared" si="0"/>
        <v>10646420.306763796</v>
      </c>
      <c r="U19" s="19">
        <f t="shared" si="0"/>
        <v>10933873.655046418</v>
      </c>
      <c r="V19" s="19">
        <f t="shared" si="0"/>
        <v>11229088.243732672</v>
      </c>
      <c r="W19" s="19">
        <f t="shared" si="0"/>
        <v>11532273.626313454</v>
      </c>
      <c r="X19" s="19">
        <f t="shared" si="0"/>
        <v>11843645.014223916</v>
      </c>
      <c r="Y19" s="19">
        <f t="shared" si="0"/>
        <v>12163423.429607961</v>
      </c>
      <c r="Z19" s="19">
        <f t="shared" si="0"/>
        <v>12491835.862207375</v>
      </c>
      <c r="AA19" s="19">
        <f t="shared" si="0"/>
        <v>12829115.430486975</v>
      </c>
      <c r="AB19" s="19">
        <f t="shared" si="0"/>
        <v>13175501.547110124</v>
      </c>
      <c r="AC19" s="19">
        <f t="shared" si="0"/>
        <v>13531240.088882096</v>
      </c>
      <c r="AD19" s="19">
        <f t="shared" si="0"/>
        <v>13896583.571281912</v>
      </c>
      <c r="AE19" s="19">
        <f t="shared" si="0"/>
        <v>14271791.327706523</v>
      </c>
      <c r="AF19" s="19">
        <f t="shared" si="0"/>
        <v>14657129.693554599</v>
      </c>
      <c r="AG19" s="19">
        <f t="shared" si="0"/>
        <v>15052872.195280572</v>
      </c>
      <c r="AH19" s="19">
        <f t="shared" si="0"/>
        <v>15459299.744553149</v>
      </c>
      <c r="AI19" s="19">
        <f t="shared" si="0"/>
        <v>15876700.837656084</v>
      </c>
      <c r="AJ19" s="19">
        <f t="shared" si="0"/>
        <v>16305371.760272799</v>
      </c>
      <c r="AK19" s="19">
        <f t="shared" si="0"/>
        <v>16745616.797800165</v>
      </c>
    </row>
    <row r="20" spans="3:37" ht="12.75">
      <c r="C20" s="7" t="s">
        <v>98</v>
      </c>
      <c r="D20" s="24">
        <v>5</v>
      </c>
      <c r="E20" s="20">
        <v>0.1</v>
      </c>
      <c r="F20" s="19">
        <f>E18</f>
        <v>7331914.59</v>
      </c>
      <c r="G20" s="19">
        <f>F20+F20*$E$20</f>
        <v>8065106.049</v>
      </c>
      <c r="H20" s="19">
        <f aca="true" t="shared" si="1" ref="H20:AK20">G20+G20*$E$20</f>
        <v>8871616.6539</v>
      </c>
      <c r="I20" s="19">
        <f t="shared" si="1"/>
        <v>9758778.31929</v>
      </c>
      <c r="J20" s="19">
        <f t="shared" si="1"/>
        <v>10734656.151219</v>
      </c>
      <c r="K20" s="19">
        <f t="shared" si="1"/>
        <v>11808121.766340898</v>
      </c>
      <c r="L20" s="19">
        <f t="shared" si="1"/>
        <v>12988933.942974988</v>
      </c>
      <c r="M20" s="19">
        <f t="shared" si="1"/>
        <v>14287827.337272488</v>
      </c>
      <c r="N20" s="19">
        <f t="shared" si="1"/>
        <v>15716610.070999736</v>
      </c>
      <c r="O20" s="19">
        <f t="shared" si="1"/>
        <v>17288271.07809971</v>
      </c>
      <c r="P20" s="19">
        <f t="shared" si="1"/>
        <v>19017098.18590968</v>
      </c>
      <c r="Q20" s="19">
        <f t="shared" si="1"/>
        <v>20918808.00450065</v>
      </c>
      <c r="R20" s="19">
        <f t="shared" si="1"/>
        <v>23010688.804950714</v>
      </c>
      <c r="S20" s="19">
        <f t="shared" si="1"/>
        <v>25311757.685445786</v>
      </c>
      <c r="T20" s="19">
        <f t="shared" si="1"/>
        <v>27842933.453990363</v>
      </c>
      <c r="U20" s="19">
        <f t="shared" si="1"/>
        <v>30627226.7993894</v>
      </c>
      <c r="V20" s="19">
        <f t="shared" si="1"/>
        <v>33689949.47932834</v>
      </c>
      <c r="W20" s="19">
        <f t="shared" si="1"/>
        <v>37058944.42726117</v>
      </c>
      <c r="X20" s="19">
        <f t="shared" si="1"/>
        <v>40764838.869987294</v>
      </c>
      <c r="Y20" s="19">
        <f t="shared" si="1"/>
        <v>44841322.75698602</v>
      </c>
      <c r="Z20" s="19">
        <f t="shared" si="1"/>
        <v>49325455.032684624</v>
      </c>
      <c r="AA20" s="19">
        <f t="shared" si="1"/>
        <v>54258000.53595309</v>
      </c>
      <c r="AB20" s="19">
        <f t="shared" si="1"/>
        <v>59683800.5895484</v>
      </c>
      <c r="AC20" s="19">
        <f t="shared" si="1"/>
        <v>65652180.648503244</v>
      </c>
      <c r="AD20" s="19">
        <f t="shared" si="1"/>
        <v>72217398.71335357</v>
      </c>
      <c r="AE20" s="19">
        <f t="shared" si="1"/>
        <v>79439138.58468893</v>
      </c>
      <c r="AF20" s="19">
        <f t="shared" si="1"/>
        <v>87383052.44315782</v>
      </c>
      <c r="AG20" s="19">
        <f t="shared" si="1"/>
        <v>96121357.68747361</v>
      </c>
      <c r="AH20" s="19">
        <f t="shared" si="1"/>
        <v>105733493.45622097</v>
      </c>
      <c r="AI20" s="19">
        <f t="shared" si="1"/>
        <v>116306842.80184306</v>
      </c>
      <c r="AJ20" s="19">
        <f t="shared" si="1"/>
        <v>127937527.08202738</v>
      </c>
      <c r="AK20" s="19">
        <f t="shared" si="1"/>
        <v>140731279.79023013</v>
      </c>
    </row>
    <row r="21" spans="3:37" ht="12.75">
      <c r="C21" s="3" t="s">
        <v>1</v>
      </c>
      <c r="D21" s="21">
        <v>0.13</v>
      </c>
      <c r="E21" s="20">
        <v>0.12</v>
      </c>
      <c r="F21" s="7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3:37" ht="12.75">
      <c r="C22" s="3" t="s">
        <v>2</v>
      </c>
      <c r="D22" s="21">
        <v>0.09</v>
      </c>
      <c r="E22" s="20">
        <v>0.09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3:37" ht="12.75">
      <c r="C23" s="3" t="s">
        <v>3</v>
      </c>
      <c r="D23" s="21">
        <v>0.05</v>
      </c>
      <c r="E23" s="20">
        <v>0.05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3:37" ht="12.75">
      <c r="C24" s="7" t="s">
        <v>44</v>
      </c>
      <c r="D24" s="40"/>
      <c r="E24" s="40"/>
      <c r="F24" s="65">
        <v>1</v>
      </c>
      <c r="G24" s="65">
        <f>F24+F24*$E$23</f>
        <v>1.05</v>
      </c>
      <c r="H24" s="65">
        <f aca="true" t="shared" si="2" ref="H24:AK24">G24+G24*$E$23</f>
        <v>1.1025</v>
      </c>
      <c r="I24" s="65">
        <f t="shared" si="2"/>
        <v>1.1576250000000001</v>
      </c>
      <c r="J24" s="65">
        <f t="shared" si="2"/>
        <v>1.2155062500000002</v>
      </c>
      <c r="K24" s="65">
        <f t="shared" si="2"/>
        <v>1.2762815625000004</v>
      </c>
      <c r="L24" s="65">
        <f t="shared" si="2"/>
        <v>1.3400956406250004</v>
      </c>
      <c r="M24" s="65">
        <f t="shared" si="2"/>
        <v>1.4071004226562505</v>
      </c>
      <c r="N24" s="65">
        <f t="shared" si="2"/>
        <v>1.477455443789063</v>
      </c>
      <c r="O24" s="65">
        <f t="shared" si="2"/>
        <v>1.5513282159785162</v>
      </c>
      <c r="P24" s="65">
        <f t="shared" si="2"/>
        <v>1.628894626777442</v>
      </c>
      <c r="Q24" s="65">
        <f t="shared" si="2"/>
        <v>1.7103393581163142</v>
      </c>
      <c r="R24" s="65">
        <f t="shared" si="2"/>
        <v>1.7958563260221299</v>
      </c>
      <c r="S24" s="65">
        <f t="shared" si="2"/>
        <v>1.8856491423232364</v>
      </c>
      <c r="T24" s="65">
        <f t="shared" si="2"/>
        <v>1.9799315994393982</v>
      </c>
      <c r="U24" s="65">
        <f t="shared" si="2"/>
        <v>2.0789281794113683</v>
      </c>
      <c r="V24" s="65">
        <f t="shared" si="2"/>
        <v>2.182874588381937</v>
      </c>
      <c r="W24" s="65">
        <f t="shared" si="2"/>
        <v>2.2920183178010336</v>
      </c>
      <c r="X24" s="65">
        <f t="shared" si="2"/>
        <v>2.406619233691085</v>
      </c>
      <c r="Y24" s="65">
        <f t="shared" si="2"/>
        <v>2.5269501953756395</v>
      </c>
      <c r="Z24" s="65">
        <f t="shared" si="2"/>
        <v>2.6532977051444213</v>
      </c>
      <c r="AA24" s="65">
        <f t="shared" si="2"/>
        <v>2.7859625904016423</v>
      </c>
      <c r="AB24" s="65">
        <f t="shared" si="2"/>
        <v>2.925260719921724</v>
      </c>
      <c r="AC24" s="65">
        <f t="shared" si="2"/>
        <v>3.0715237559178106</v>
      </c>
      <c r="AD24" s="65">
        <f t="shared" si="2"/>
        <v>3.225099943713701</v>
      </c>
      <c r="AE24" s="65">
        <f t="shared" si="2"/>
        <v>3.3863549408993863</v>
      </c>
      <c r="AF24" s="65">
        <f t="shared" si="2"/>
        <v>3.5556726879443556</v>
      </c>
      <c r="AG24" s="65">
        <f t="shared" si="2"/>
        <v>3.7334563223415733</v>
      </c>
      <c r="AH24" s="65">
        <f t="shared" si="2"/>
        <v>3.920129138458652</v>
      </c>
      <c r="AI24" s="65">
        <f t="shared" si="2"/>
        <v>4.116135595381585</v>
      </c>
      <c r="AJ24" s="65">
        <f t="shared" si="2"/>
        <v>4.321942375150664</v>
      </c>
      <c r="AK24" s="65">
        <f t="shared" si="2"/>
        <v>4.538039493908197</v>
      </c>
    </row>
    <row r="25" spans="3:37" ht="12.75">
      <c r="C25" s="3" t="s">
        <v>4</v>
      </c>
      <c r="D25" s="21">
        <v>0.01</v>
      </c>
      <c r="E25" s="20">
        <v>0.01</v>
      </c>
      <c r="F25" s="27">
        <f>$E$68*F24/100</f>
        <v>117730</v>
      </c>
      <c r="G25" s="27">
        <f aca="true" t="shared" si="3" ref="G25:AK25">$E$68*G24/100</f>
        <v>123616.5</v>
      </c>
      <c r="H25" s="27">
        <f t="shared" si="3"/>
        <v>129797.325</v>
      </c>
      <c r="I25" s="27">
        <f t="shared" si="3"/>
        <v>136287.19125000003</v>
      </c>
      <c r="J25" s="27">
        <f t="shared" si="3"/>
        <v>143101.55081250003</v>
      </c>
      <c r="K25" s="27">
        <f t="shared" si="3"/>
        <v>150256.62835312504</v>
      </c>
      <c r="L25" s="27">
        <f t="shared" si="3"/>
        <v>157769.4597707813</v>
      </c>
      <c r="M25" s="27">
        <f t="shared" si="3"/>
        <v>165657.93275932036</v>
      </c>
      <c r="N25" s="27">
        <f t="shared" si="3"/>
        <v>173940.8293972864</v>
      </c>
      <c r="O25" s="27">
        <f t="shared" si="3"/>
        <v>182637.87086715072</v>
      </c>
      <c r="P25" s="27">
        <f t="shared" si="3"/>
        <v>191769.76441050824</v>
      </c>
      <c r="Q25" s="27">
        <f t="shared" si="3"/>
        <v>201358.25263103365</v>
      </c>
      <c r="R25" s="27">
        <f t="shared" si="3"/>
        <v>211426.16526258536</v>
      </c>
      <c r="S25" s="27">
        <f t="shared" si="3"/>
        <v>221997.47352571462</v>
      </c>
      <c r="T25" s="27">
        <f t="shared" si="3"/>
        <v>233097.34720200035</v>
      </c>
      <c r="U25" s="27">
        <f t="shared" si="3"/>
        <v>244752.2145621004</v>
      </c>
      <c r="V25" s="27">
        <f t="shared" si="3"/>
        <v>256989.82529020545</v>
      </c>
      <c r="W25" s="27">
        <f t="shared" si="3"/>
        <v>269839.3165547157</v>
      </c>
      <c r="X25" s="27">
        <f t="shared" si="3"/>
        <v>283331.28238245146</v>
      </c>
      <c r="Y25" s="27">
        <f t="shared" si="3"/>
        <v>297497.84650157404</v>
      </c>
      <c r="Z25" s="27">
        <f t="shared" si="3"/>
        <v>312372.73882665276</v>
      </c>
      <c r="AA25" s="27">
        <f t="shared" si="3"/>
        <v>327991.37576798536</v>
      </c>
      <c r="AB25" s="27">
        <f t="shared" si="3"/>
        <v>344390.9445563846</v>
      </c>
      <c r="AC25" s="27">
        <f t="shared" si="3"/>
        <v>361610.49178420386</v>
      </c>
      <c r="AD25" s="27">
        <f t="shared" si="3"/>
        <v>379691.016373414</v>
      </c>
      <c r="AE25" s="27">
        <f t="shared" si="3"/>
        <v>398675.56719208474</v>
      </c>
      <c r="AF25" s="27">
        <f t="shared" si="3"/>
        <v>418609.345551689</v>
      </c>
      <c r="AG25" s="27">
        <f t="shared" si="3"/>
        <v>439539.8128292734</v>
      </c>
      <c r="AH25" s="27">
        <f t="shared" si="3"/>
        <v>461516.8034707371</v>
      </c>
      <c r="AI25" s="27">
        <f t="shared" si="3"/>
        <v>484592.643644274</v>
      </c>
      <c r="AJ25" s="27">
        <f t="shared" si="3"/>
        <v>508822.2758264877</v>
      </c>
      <c r="AK25" s="27">
        <f t="shared" si="3"/>
        <v>534263.3896178121</v>
      </c>
    </row>
    <row r="26" spans="3:37" ht="12.75">
      <c r="C26" s="3" t="s">
        <v>5</v>
      </c>
      <c r="D26" s="24" t="s">
        <v>40</v>
      </c>
      <c r="E26" s="17" t="s">
        <v>40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3:37" ht="12.75">
      <c r="C27" s="7" t="s">
        <v>97</v>
      </c>
      <c r="D27" s="23">
        <v>50</v>
      </c>
      <c r="E27" s="66">
        <v>50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3:37" ht="12.75">
      <c r="C28" s="3" t="s">
        <v>6</v>
      </c>
      <c r="D28" s="23">
        <v>50</v>
      </c>
      <c r="E28" s="66">
        <v>50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3:37" ht="12.75">
      <c r="C29" s="3" t="s">
        <v>7</v>
      </c>
      <c r="D29" s="23">
        <v>30</v>
      </c>
      <c r="E29" s="66">
        <v>30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3:37" ht="12.75">
      <c r="C30" s="3" t="s">
        <v>8</v>
      </c>
      <c r="D30" s="23">
        <v>15</v>
      </c>
      <c r="E30" s="66">
        <v>15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3:37" ht="12.75">
      <c r="C31" s="3" t="s">
        <v>9</v>
      </c>
      <c r="D31" s="23" t="s">
        <v>41</v>
      </c>
      <c r="E31" s="66" t="s">
        <v>41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3:37" ht="12.75">
      <c r="C32" s="3" t="s">
        <v>96</v>
      </c>
      <c r="D32" s="37"/>
      <c r="E32" s="37">
        <f>660+212</f>
        <v>872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3:37" ht="13.5" thickBot="1">
      <c r="C33" s="4" t="s">
        <v>10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3:37" ht="12.75">
      <c r="C34" s="3" t="str">
        <f>CONCATENATE("Electric Power Consumption @ ",E19)</f>
        <v>Electric Power Consumption @ 0.027</v>
      </c>
      <c r="D34" s="19">
        <v>259625000</v>
      </c>
      <c r="E34" s="50"/>
      <c r="F34" s="19">
        <f>$D$34/$D$18*F19</f>
        <v>272606250</v>
      </c>
      <c r="G34" s="19">
        <f>$D$34/$D$18*G19</f>
        <v>279966618.75</v>
      </c>
      <c r="H34" s="19">
        <f aca="true" t="shared" si="4" ref="H34:AK34">$D$34/$D$18*H19</f>
        <v>287525717.45625</v>
      </c>
      <c r="I34" s="19">
        <f t="shared" si="4"/>
        <v>295288911.82756877</v>
      </c>
      <c r="J34" s="19">
        <f t="shared" si="4"/>
        <v>303261712.4469131</v>
      </c>
      <c r="K34" s="19">
        <f t="shared" si="4"/>
        <v>311449778.68297976</v>
      </c>
      <c r="L34" s="19">
        <f t="shared" si="4"/>
        <v>319858922.70742023</v>
      </c>
      <c r="M34" s="19">
        <f t="shared" si="4"/>
        <v>328495113.62052053</v>
      </c>
      <c r="N34" s="19">
        <f t="shared" si="4"/>
        <v>337364481.68827456</v>
      </c>
      <c r="O34" s="19">
        <f t="shared" si="4"/>
        <v>346473322.69385797</v>
      </c>
      <c r="P34" s="19">
        <f t="shared" si="4"/>
        <v>355828102.40659213</v>
      </c>
      <c r="Q34" s="19">
        <f t="shared" si="4"/>
        <v>365435461.1715701</v>
      </c>
      <c r="R34" s="19">
        <f t="shared" si="4"/>
        <v>375302218.6232025</v>
      </c>
      <c r="S34" s="19">
        <f t="shared" si="4"/>
        <v>385435378.52602893</v>
      </c>
      <c r="T34" s="19">
        <f t="shared" si="4"/>
        <v>395842133.74623173</v>
      </c>
      <c r="U34" s="19">
        <f t="shared" si="4"/>
        <v>406529871.35738003</v>
      </c>
      <c r="V34" s="19">
        <f t="shared" si="4"/>
        <v>417506177.88402927</v>
      </c>
      <c r="W34" s="19">
        <f t="shared" si="4"/>
        <v>428778844.68689805</v>
      </c>
      <c r="X34" s="19">
        <f t="shared" si="4"/>
        <v>440355873.49344426</v>
      </c>
      <c r="Y34" s="19">
        <f t="shared" si="4"/>
        <v>452245482.07776725</v>
      </c>
      <c r="Z34" s="19">
        <f t="shared" si="4"/>
        <v>464456110.09386694</v>
      </c>
      <c r="AA34" s="19">
        <f t="shared" si="4"/>
        <v>476996425.06640136</v>
      </c>
      <c r="AB34" s="19">
        <f t="shared" si="4"/>
        <v>489875328.5431942</v>
      </c>
      <c r="AC34" s="19">
        <f t="shared" si="4"/>
        <v>503101962.41386044</v>
      </c>
      <c r="AD34" s="19">
        <f t="shared" si="4"/>
        <v>516685715.3990346</v>
      </c>
      <c r="AE34" s="19">
        <f t="shared" si="4"/>
        <v>530636229.7148085</v>
      </c>
      <c r="AF34" s="19">
        <f t="shared" si="4"/>
        <v>544963407.9171083</v>
      </c>
      <c r="AG34" s="19">
        <f t="shared" si="4"/>
        <v>559677419.9308703</v>
      </c>
      <c r="AH34" s="19">
        <f t="shared" si="4"/>
        <v>574788710.2690037</v>
      </c>
      <c r="AI34" s="19">
        <f t="shared" si="4"/>
        <v>590308005.4462669</v>
      </c>
      <c r="AJ34" s="19">
        <f t="shared" si="4"/>
        <v>606246321.5933161</v>
      </c>
      <c r="AK34" s="19">
        <f t="shared" si="4"/>
        <v>622614972.2763357</v>
      </c>
    </row>
    <row r="35" spans="3:37" ht="12.75">
      <c r="C35" s="3" t="str">
        <f>CONCATENATE("Electric Power Consumption @ ",E20)</f>
        <v>Electric Power Consumption @ 0.1</v>
      </c>
      <c r="D35" s="19">
        <v>259625000</v>
      </c>
      <c r="E35" s="50"/>
      <c r="F35" s="19">
        <f>$D$34/$D$18*F20</f>
        <v>272606250</v>
      </c>
      <c r="G35" s="19">
        <f>$D$34/$D$18*G20</f>
        <v>299866875</v>
      </c>
      <c r="H35" s="19">
        <f aca="true" t="shared" si="5" ref="H35:AJ35">$D$34/$D$18*H20</f>
        <v>329853562.49999994</v>
      </c>
      <c r="I35" s="19">
        <f t="shared" si="5"/>
        <v>362838918.74999994</v>
      </c>
      <c r="J35" s="19">
        <f t="shared" si="5"/>
        <v>399122810.62499994</v>
      </c>
      <c r="K35" s="19">
        <f t="shared" si="5"/>
        <v>439035091.68749994</v>
      </c>
      <c r="L35" s="19">
        <f t="shared" si="5"/>
        <v>482938600.8562499</v>
      </c>
      <c r="M35" s="19">
        <f t="shared" si="5"/>
        <v>531232460.9418749</v>
      </c>
      <c r="N35" s="19">
        <f t="shared" si="5"/>
        <v>584355707.0360624</v>
      </c>
      <c r="O35" s="19">
        <f t="shared" si="5"/>
        <v>642791277.7396686</v>
      </c>
      <c r="P35" s="19">
        <f t="shared" si="5"/>
        <v>707070405.5136355</v>
      </c>
      <c r="Q35" s="19">
        <f t="shared" si="5"/>
        <v>777777446.0649991</v>
      </c>
      <c r="R35" s="19">
        <f t="shared" si="5"/>
        <v>855555190.671499</v>
      </c>
      <c r="S35" s="19">
        <f t="shared" si="5"/>
        <v>941110709.7386489</v>
      </c>
      <c r="T35" s="19">
        <f t="shared" si="5"/>
        <v>1035221780.7125137</v>
      </c>
      <c r="U35" s="19">
        <f t="shared" si="5"/>
        <v>1138743958.783765</v>
      </c>
      <c r="V35" s="19">
        <f t="shared" si="5"/>
        <v>1252618354.6621418</v>
      </c>
      <c r="W35" s="19">
        <f t="shared" si="5"/>
        <v>1377880190.1283557</v>
      </c>
      <c r="X35" s="19">
        <f t="shared" si="5"/>
        <v>1515668209.1411915</v>
      </c>
      <c r="Y35" s="19">
        <f t="shared" si="5"/>
        <v>1667235030.0553107</v>
      </c>
      <c r="Z35" s="19">
        <f t="shared" si="5"/>
        <v>1833958533.0608418</v>
      </c>
      <c r="AA35" s="19">
        <f t="shared" si="5"/>
        <v>2017354386.366926</v>
      </c>
      <c r="AB35" s="19">
        <f t="shared" si="5"/>
        <v>2219089825.0036187</v>
      </c>
      <c r="AC35" s="19">
        <f t="shared" si="5"/>
        <v>2440998807.5039806</v>
      </c>
      <c r="AD35" s="19">
        <f t="shared" si="5"/>
        <v>2685098688.254379</v>
      </c>
      <c r="AE35" s="19">
        <f t="shared" si="5"/>
        <v>2953608557.079817</v>
      </c>
      <c r="AF35" s="19">
        <f t="shared" si="5"/>
        <v>3248969412.7877984</v>
      </c>
      <c r="AG35" s="19">
        <f t="shared" si="5"/>
        <v>3573866354.0665784</v>
      </c>
      <c r="AH35" s="19">
        <f t="shared" si="5"/>
        <v>3931252989.473236</v>
      </c>
      <c r="AI35" s="19">
        <f t="shared" si="5"/>
        <v>4324378288.42056</v>
      </c>
      <c r="AJ35" s="19">
        <f t="shared" si="5"/>
        <v>4756816117.262616</v>
      </c>
      <c r="AK35" s="19">
        <f>$D$34/$D$18*AK20</f>
        <v>5232497728.988878</v>
      </c>
    </row>
    <row r="36" spans="3:37" ht="12.75">
      <c r="C36" s="3" t="s">
        <v>11</v>
      </c>
      <c r="D36" s="38">
        <v>7.75</v>
      </c>
      <c r="E36" s="51">
        <v>7.75</v>
      </c>
      <c r="F36" s="38">
        <f>E36</f>
        <v>7.75</v>
      </c>
      <c r="G36" s="38">
        <f>F36+F36*$E$40</f>
        <v>7.8275</v>
      </c>
      <c r="H36" s="38">
        <f aca="true" t="shared" si="6" ref="H36:AK36">G36+G36*$E$40</f>
        <v>7.905774999999999</v>
      </c>
      <c r="I36" s="38">
        <f t="shared" si="6"/>
        <v>7.984832749999999</v>
      </c>
      <c r="J36" s="38">
        <f t="shared" si="6"/>
        <v>8.0646810775</v>
      </c>
      <c r="K36" s="38">
        <f t="shared" si="6"/>
        <v>8.145327888275</v>
      </c>
      <c r="L36" s="38">
        <f t="shared" si="6"/>
        <v>8.22678116715775</v>
      </c>
      <c r="M36" s="38">
        <f t="shared" si="6"/>
        <v>8.309048978829328</v>
      </c>
      <c r="N36" s="38">
        <f t="shared" si="6"/>
        <v>8.392139468617621</v>
      </c>
      <c r="O36" s="38">
        <f>N36+N36*$E$40</f>
        <v>8.476060863303797</v>
      </c>
      <c r="P36" s="38">
        <f t="shared" si="6"/>
        <v>8.560821471936835</v>
      </c>
      <c r="Q36" s="38">
        <f t="shared" si="6"/>
        <v>8.646429686656203</v>
      </c>
      <c r="R36" s="38">
        <f t="shared" si="6"/>
        <v>8.732893983522766</v>
      </c>
      <c r="S36" s="38">
        <f t="shared" si="6"/>
        <v>8.820222923357994</v>
      </c>
      <c r="T36" s="38">
        <f t="shared" si="6"/>
        <v>8.908425152591574</v>
      </c>
      <c r="U36" s="38">
        <f t="shared" si="6"/>
        <v>8.99750940411749</v>
      </c>
      <c r="V36" s="38">
        <f t="shared" si="6"/>
        <v>9.087484498158666</v>
      </c>
      <c r="W36" s="38">
        <f t="shared" si="6"/>
        <v>9.178359343140253</v>
      </c>
      <c r="X36" s="38">
        <f t="shared" si="6"/>
        <v>9.270142936571656</v>
      </c>
      <c r="Y36" s="38">
        <f t="shared" si="6"/>
        <v>9.362844365937372</v>
      </c>
      <c r="Z36" s="38">
        <f t="shared" si="6"/>
        <v>9.456472809596745</v>
      </c>
      <c r="AA36" s="38">
        <f t="shared" si="6"/>
        <v>9.551037537692713</v>
      </c>
      <c r="AB36" s="38">
        <f t="shared" si="6"/>
        <v>9.64654791306964</v>
      </c>
      <c r="AC36" s="38">
        <f t="shared" si="6"/>
        <v>9.743013392200336</v>
      </c>
      <c r="AD36" s="38">
        <f t="shared" si="6"/>
        <v>9.840443526122339</v>
      </c>
      <c r="AE36" s="38">
        <f t="shared" si="6"/>
        <v>9.938847961383562</v>
      </c>
      <c r="AF36" s="38">
        <f t="shared" si="6"/>
        <v>10.038236440997398</v>
      </c>
      <c r="AG36" s="38">
        <f t="shared" si="6"/>
        <v>10.138618805407372</v>
      </c>
      <c r="AH36" s="38">
        <f t="shared" si="6"/>
        <v>10.240004993461445</v>
      </c>
      <c r="AI36" s="38">
        <f t="shared" si="6"/>
        <v>10.34240504339606</v>
      </c>
      <c r="AJ36" s="38">
        <f t="shared" si="6"/>
        <v>10.445829093830021</v>
      </c>
      <c r="AK36" s="38">
        <f t="shared" si="6"/>
        <v>10.550287384768321</v>
      </c>
    </row>
    <row r="37" spans="3:37" ht="12.75">
      <c r="C37" s="3" t="s">
        <v>12</v>
      </c>
      <c r="D37" s="24">
        <v>7.5</v>
      </c>
      <c r="E37" s="17">
        <v>7.5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3:37" ht="12.75">
      <c r="C38" s="3" t="s">
        <v>13</v>
      </c>
      <c r="D38" s="24">
        <v>7</v>
      </c>
      <c r="E38" s="17">
        <v>7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3:37" ht="12.75">
      <c r="C39" s="3" t="s">
        <v>14</v>
      </c>
      <c r="D39" s="24">
        <v>8</v>
      </c>
      <c r="E39" s="17">
        <v>8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3:37" ht="12.75">
      <c r="C40" s="3" t="s">
        <v>15</v>
      </c>
      <c r="D40" s="39">
        <v>0.01</v>
      </c>
      <c r="E40" s="41">
        <v>0.01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3:37" ht="12.75">
      <c r="C41" s="3" t="str">
        <f>CONCATENATE("Total Electric Power Cost @",E19)</f>
        <v>Total Electric Power Cost @0.027</v>
      </c>
      <c r="D41" s="27">
        <v>2012656</v>
      </c>
      <c r="E41" s="27">
        <v>2012656</v>
      </c>
      <c r="F41" s="18">
        <f>F34*F$36/1000</f>
        <v>2112698.4375</v>
      </c>
      <c r="G41" s="18">
        <f aca="true" t="shared" si="7" ref="G41:AK41">G34*G$36/1000</f>
        <v>2191438.708265625</v>
      </c>
      <c r="H41" s="18">
        <f t="shared" si="7"/>
        <v>2273113.6289226846</v>
      </c>
      <c r="I41" s="18">
        <f t="shared" si="7"/>
        <v>2357832.573872633</v>
      </c>
      <c r="J41" s="18">
        <f t="shared" si="7"/>
        <v>2445708.9939008667</v>
      </c>
      <c r="K41" s="18">
        <f t="shared" si="7"/>
        <v>2536860.568103552</v>
      </c>
      <c r="L41" s="18">
        <f t="shared" si="7"/>
        <v>2631409.361476771</v>
      </c>
      <c r="M41" s="18">
        <f t="shared" si="7"/>
        <v>2729481.98837901</v>
      </c>
      <c r="N41" s="18">
        <f t="shared" si="7"/>
        <v>2831209.7820858955</v>
      </c>
      <c r="O41" s="18">
        <f t="shared" si="7"/>
        <v>2936728.9706642367</v>
      </c>
      <c r="P41" s="18">
        <f t="shared" si="7"/>
        <v>3046180.8594008926</v>
      </c>
      <c r="Q41" s="18">
        <f t="shared" si="7"/>
        <v>3159712.020030764</v>
      </c>
      <c r="R41" s="18">
        <f t="shared" si="7"/>
        <v>3277474.487017311</v>
      </c>
      <c r="S41" s="18">
        <f t="shared" si="7"/>
        <v>3399625.9611484455</v>
      </c>
      <c r="T41" s="18">
        <f t="shared" si="7"/>
        <v>3526330.020720449</v>
      </c>
      <c r="U41" s="18">
        <f t="shared" si="7"/>
        <v>3657756.3405927005</v>
      </c>
      <c r="V41" s="18">
        <f t="shared" si="7"/>
        <v>3794080.9194065905</v>
      </c>
      <c r="W41" s="18">
        <f t="shared" si="7"/>
        <v>3935486.3152728737</v>
      </c>
      <c r="X41" s="18">
        <f t="shared" si="7"/>
        <v>4082161.890243094</v>
      </c>
      <c r="Y41" s="18">
        <f t="shared" si="7"/>
        <v>4234304.063892454</v>
      </c>
      <c r="Z41" s="18">
        <f t="shared" si="7"/>
        <v>4392116.576353725</v>
      </c>
      <c r="AA41" s="18">
        <f t="shared" si="7"/>
        <v>4555810.761154428</v>
      </c>
      <c r="AB41" s="18">
        <f t="shared" si="7"/>
        <v>4725605.828222654</v>
      </c>
      <c r="AC41" s="18">
        <f t="shared" si="7"/>
        <v>4901729.157440512</v>
      </c>
      <c r="AD41" s="18">
        <f t="shared" si="7"/>
        <v>5084416.60313832</v>
      </c>
      <c r="AE41" s="18">
        <f t="shared" si="7"/>
        <v>5273912.809937284</v>
      </c>
      <c r="AF41" s="18">
        <f t="shared" si="7"/>
        <v>5470471.540363646</v>
      </c>
      <c r="AG41" s="18">
        <f t="shared" si="7"/>
        <v>5674356.014673</v>
      </c>
      <c r="AH41" s="18">
        <f t="shared" si="7"/>
        <v>5885839.263339863</v>
      </c>
      <c r="AI41" s="18">
        <f t="shared" si="7"/>
        <v>6105204.4926845385</v>
      </c>
      <c r="AJ41" s="18">
        <f t="shared" si="7"/>
        <v>6332745.464126892</v>
      </c>
      <c r="AK41" s="18">
        <f t="shared" si="7"/>
        <v>6568766.887574903</v>
      </c>
    </row>
    <row r="42" spans="3:37" ht="12.75">
      <c r="C42" s="3" t="str">
        <f>CONCATENATE("Total Electric Power Cost @",E20)</f>
        <v>Total Electric Power Cost @0.1</v>
      </c>
      <c r="D42" s="27">
        <v>2012656</v>
      </c>
      <c r="E42" s="27">
        <v>2012656</v>
      </c>
      <c r="F42" s="18">
        <f>F35*F$36/1000</f>
        <v>2112698.4375</v>
      </c>
      <c r="G42" s="18">
        <f aca="true" t="shared" si="8" ref="G42:AK42">G35*G$36/1000</f>
        <v>2347207.9640625</v>
      </c>
      <c r="H42" s="18">
        <f t="shared" si="8"/>
        <v>2607748.0480734366</v>
      </c>
      <c r="I42" s="18">
        <f t="shared" si="8"/>
        <v>2897208.0814095885</v>
      </c>
      <c r="J42" s="18">
        <f t="shared" si="8"/>
        <v>3218798.1784460526</v>
      </c>
      <c r="K42" s="18">
        <f t="shared" si="8"/>
        <v>3576084.7762535647</v>
      </c>
      <c r="L42" s="18">
        <f t="shared" si="8"/>
        <v>3973030.1864177105</v>
      </c>
      <c r="M42" s="18">
        <f t="shared" si="8"/>
        <v>4414036.537110077</v>
      </c>
      <c r="N42" s="18">
        <f t="shared" si="8"/>
        <v>4903994.592729295</v>
      </c>
      <c r="O42" s="18">
        <f t="shared" si="8"/>
        <v>5448337.992522246</v>
      </c>
      <c r="P42" s="18">
        <f t="shared" si="8"/>
        <v>6053103.509692216</v>
      </c>
      <c r="Q42" s="18">
        <f t="shared" si="8"/>
        <v>6724997.999268052</v>
      </c>
      <c r="R42" s="18">
        <f t="shared" si="8"/>
        <v>7471472.777186806</v>
      </c>
      <c r="S42" s="18">
        <f t="shared" si="8"/>
        <v>8300806.255454542</v>
      </c>
      <c r="T42" s="18">
        <f t="shared" si="8"/>
        <v>9222195.749809995</v>
      </c>
      <c r="U42" s="18">
        <f t="shared" si="8"/>
        <v>10245859.478038905</v>
      </c>
      <c r="V42" s="18">
        <f t="shared" si="8"/>
        <v>11383149.880101228</v>
      </c>
      <c r="W42" s="18">
        <f t="shared" si="8"/>
        <v>12646679.516792461</v>
      </c>
      <c r="X42" s="18">
        <f t="shared" si="8"/>
        <v>14050460.943156427</v>
      </c>
      <c r="Y42" s="18">
        <f t="shared" si="8"/>
        <v>15610062.10784679</v>
      </c>
      <c r="Z42" s="18">
        <f t="shared" si="8"/>
        <v>17342779.001817785</v>
      </c>
      <c r="AA42" s="18">
        <f t="shared" si="8"/>
        <v>19267827.47101956</v>
      </c>
      <c r="AB42" s="18">
        <f t="shared" si="8"/>
        <v>21406556.320302732</v>
      </c>
      <c r="AC42" s="18">
        <f t="shared" si="8"/>
        <v>23782684.07185633</v>
      </c>
      <c r="AD42" s="18">
        <f t="shared" si="8"/>
        <v>26422562.003832385</v>
      </c>
      <c r="AE42" s="18">
        <f t="shared" si="8"/>
        <v>29355466.386257783</v>
      </c>
      <c r="AF42" s="18">
        <f t="shared" si="8"/>
        <v>32613923.155132398</v>
      </c>
      <c r="AG42" s="18">
        <f t="shared" si="8"/>
        <v>36234068.6253521</v>
      </c>
      <c r="AH42" s="18">
        <f t="shared" si="8"/>
        <v>40256050.24276617</v>
      </c>
      <c r="AI42" s="18">
        <f t="shared" si="8"/>
        <v>44724471.81971322</v>
      </c>
      <c r="AJ42" s="18">
        <f t="shared" si="8"/>
        <v>49688888.19170139</v>
      </c>
      <c r="AK42" s="18">
        <f t="shared" si="8"/>
        <v>55204354.78098025</v>
      </c>
    </row>
    <row r="43" spans="3:37" ht="12.75">
      <c r="C43" s="3" t="str">
        <f>CONCATENATE("Number of Electric Locomotives @ ",E19)</f>
        <v>Number of Electric Locomotives @ 0.027</v>
      </c>
      <c r="D43" s="24">
        <v>12</v>
      </c>
      <c r="E43" s="24">
        <f>E47+D43-E45</f>
        <v>56</v>
      </c>
      <c r="F43" s="24">
        <f aca="true" t="shared" si="9" ref="F43:AK43">ROUNDUP(F19*$E$52/F49,0)</f>
        <v>57</v>
      </c>
      <c r="G43" s="24">
        <f t="shared" si="9"/>
        <v>58</v>
      </c>
      <c r="H43" s="24">
        <f t="shared" si="9"/>
        <v>60</v>
      </c>
      <c r="I43" s="24">
        <f t="shared" si="9"/>
        <v>62</v>
      </c>
      <c r="J43" s="24">
        <f t="shared" si="9"/>
        <v>63</v>
      </c>
      <c r="K43" s="24">
        <f t="shared" si="9"/>
        <v>65</v>
      </c>
      <c r="L43" s="24">
        <f t="shared" si="9"/>
        <v>67</v>
      </c>
      <c r="M43" s="24">
        <f t="shared" si="9"/>
        <v>68</v>
      </c>
      <c r="N43" s="24">
        <f t="shared" si="9"/>
        <v>70</v>
      </c>
      <c r="O43" s="24">
        <f t="shared" si="9"/>
        <v>72</v>
      </c>
      <c r="P43" s="24">
        <f t="shared" si="9"/>
        <v>74</v>
      </c>
      <c r="Q43" s="24">
        <f t="shared" si="9"/>
        <v>76</v>
      </c>
      <c r="R43" s="24">
        <f t="shared" si="9"/>
        <v>78</v>
      </c>
      <c r="S43" s="24">
        <f t="shared" si="9"/>
        <v>80</v>
      </c>
      <c r="T43" s="24">
        <f t="shared" si="9"/>
        <v>82</v>
      </c>
      <c r="U43" s="24">
        <f t="shared" si="9"/>
        <v>85</v>
      </c>
      <c r="V43" s="24">
        <f t="shared" si="9"/>
        <v>87</v>
      </c>
      <c r="W43" s="24">
        <f t="shared" si="9"/>
        <v>89</v>
      </c>
      <c r="X43" s="24">
        <f t="shared" si="9"/>
        <v>92</v>
      </c>
      <c r="Y43" s="24">
        <f t="shared" si="9"/>
        <v>94</v>
      </c>
      <c r="Z43" s="24">
        <f t="shared" si="9"/>
        <v>97</v>
      </c>
      <c r="AA43" s="24">
        <f t="shared" si="9"/>
        <v>99</v>
      </c>
      <c r="AB43" s="24">
        <f t="shared" si="9"/>
        <v>102</v>
      </c>
      <c r="AC43" s="24">
        <f t="shared" si="9"/>
        <v>105</v>
      </c>
      <c r="AD43" s="24">
        <f t="shared" si="9"/>
        <v>107</v>
      </c>
      <c r="AE43" s="24">
        <f t="shared" si="9"/>
        <v>110</v>
      </c>
      <c r="AF43" s="24">
        <f t="shared" si="9"/>
        <v>113</v>
      </c>
      <c r="AG43" s="24">
        <f t="shared" si="9"/>
        <v>116</v>
      </c>
      <c r="AH43" s="24">
        <f t="shared" si="9"/>
        <v>119</v>
      </c>
      <c r="AI43" s="24">
        <f t="shared" si="9"/>
        <v>123</v>
      </c>
      <c r="AJ43" s="24">
        <f t="shared" si="9"/>
        <v>126</v>
      </c>
      <c r="AK43" s="24">
        <f t="shared" si="9"/>
        <v>129</v>
      </c>
    </row>
    <row r="44" spans="3:37" ht="12.75">
      <c r="C44" s="3" t="str">
        <f>CONCATENATE("Number of Electric Locomotives @ ",E20)</f>
        <v>Number of Electric Locomotives @ 0.1</v>
      </c>
      <c r="D44" s="24">
        <v>12</v>
      </c>
      <c r="E44" s="24">
        <f>E48+D44-E46</f>
        <v>56</v>
      </c>
      <c r="F44" s="24">
        <f aca="true" t="shared" si="10" ref="F44:AK44">ROUNDUP(F20*$E$52/F49,0)</f>
        <v>57</v>
      </c>
      <c r="G44" s="24">
        <f t="shared" si="10"/>
        <v>63</v>
      </c>
      <c r="H44" s="24">
        <f t="shared" si="10"/>
        <v>69</v>
      </c>
      <c r="I44" s="24">
        <f t="shared" si="10"/>
        <v>76</v>
      </c>
      <c r="J44" s="24">
        <f t="shared" si="10"/>
        <v>83</v>
      </c>
      <c r="K44" s="24">
        <f t="shared" si="10"/>
        <v>91</v>
      </c>
      <c r="L44" s="24">
        <f t="shared" si="10"/>
        <v>100</v>
      </c>
      <c r="M44" s="24">
        <f t="shared" si="10"/>
        <v>110</v>
      </c>
      <c r="N44" s="24">
        <f t="shared" si="10"/>
        <v>121</v>
      </c>
      <c r="O44" s="24">
        <f t="shared" si="10"/>
        <v>133</v>
      </c>
      <c r="P44" s="24">
        <f t="shared" si="10"/>
        <v>147</v>
      </c>
      <c r="Q44" s="24">
        <f t="shared" si="10"/>
        <v>161</v>
      </c>
      <c r="R44" s="24">
        <f t="shared" si="10"/>
        <v>178</v>
      </c>
      <c r="S44" s="24">
        <f t="shared" si="10"/>
        <v>195</v>
      </c>
      <c r="T44" s="24">
        <f t="shared" si="10"/>
        <v>215</v>
      </c>
      <c r="U44" s="24">
        <f t="shared" si="10"/>
        <v>236</v>
      </c>
      <c r="V44" s="24">
        <f t="shared" si="10"/>
        <v>260</v>
      </c>
      <c r="W44" s="24">
        <f t="shared" si="10"/>
        <v>286</v>
      </c>
      <c r="X44" s="24">
        <f t="shared" si="10"/>
        <v>314</v>
      </c>
      <c r="Y44" s="24">
        <f t="shared" si="10"/>
        <v>345</v>
      </c>
      <c r="Z44" s="24">
        <f t="shared" si="10"/>
        <v>380</v>
      </c>
      <c r="AA44" s="24">
        <f t="shared" si="10"/>
        <v>418</v>
      </c>
      <c r="AB44" s="24">
        <f t="shared" si="10"/>
        <v>460</v>
      </c>
      <c r="AC44" s="24">
        <f t="shared" si="10"/>
        <v>506</v>
      </c>
      <c r="AD44" s="24">
        <f t="shared" si="10"/>
        <v>556</v>
      </c>
      <c r="AE44" s="24">
        <f t="shared" si="10"/>
        <v>612</v>
      </c>
      <c r="AF44" s="24">
        <f t="shared" si="10"/>
        <v>673</v>
      </c>
      <c r="AG44" s="24">
        <f t="shared" si="10"/>
        <v>740</v>
      </c>
      <c r="AH44" s="24">
        <f t="shared" si="10"/>
        <v>814</v>
      </c>
      <c r="AI44" s="24">
        <f t="shared" si="10"/>
        <v>895</v>
      </c>
      <c r="AJ44" s="24">
        <f t="shared" si="10"/>
        <v>985</v>
      </c>
      <c r="AK44" s="24">
        <f t="shared" si="10"/>
        <v>1083</v>
      </c>
    </row>
    <row r="45" spans="3:37" ht="12.75">
      <c r="C45" s="3" t="str">
        <f>CONCATENATE("Retirements @",E19)</f>
        <v>Retirements @0.027</v>
      </c>
      <c r="D45" s="15"/>
      <c r="E45" s="37">
        <v>0</v>
      </c>
      <c r="F45" s="37"/>
      <c r="G45" s="37"/>
      <c r="H45" s="37"/>
      <c r="I45" s="37"/>
      <c r="J45" s="37"/>
      <c r="K45" s="37"/>
      <c r="L45" s="37"/>
      <c r="M45" s="37"/>
      <c r="N45" s="37"/>
      <c r="O45" s="37">
        <v>12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3:37" ht="12.75">
      <c r="C46" s="3" t="str">
        <f>CONCATENATE("Retirements @",E20)</f>
        <v>Retirements @0.1</v>
      </c>
      <c r="D46" s="15"/>
      <c r="E46" s="37">
        <v>0</v>
      </c>
      <c r="F46" s="37"/>
      <c r="G46" s="37"/>
      <c r="H46" s="37"/>
      <c r="I46" s="37"/>
      <c r="J46" s="37"/>
      <c r="K46" s="37"/>
      <c r="L46" s="37"/>
      <c r="M46" s="37"/>
      <c r="N46" s="37"/>
      <c r="O46" s="37">
        <v>12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3:37" ht="12.75">
      <c r="C47" s="3" t="str">
        <f>CONCATENATE("Additions @ ",E19)</f>
        <v>Additions @ 0.027</v>
      </c>
      <c r="D47" s="15"/>
      <c r="E47" s="17">
        <v>44</v>
      </c>
      <c r="F47" s="23">
        <f>F43-E43+F45</f>
        <v>1</v>
      </c>
      <c r="G47" s="23">
        <f aca="true" t="shared" si="11" ref="G47:AK47">G43-F43+G45</f>
        <v>1</v>
      </c>
      <c r="H47" s="23">
        <f t="shared" si="11"/>
        <v>2</v>
      </c>
      <c r="I47" s="23">
        <f t="shared" si="11"/>
        <v>2</v>
      </c>
      <c r="J47" s="23">
        <f t="shared" si="11"/>
        <v>1</v>
      </c>
      <c r="K47" s="23">
        <f t="shared" si="11"/>
        <v>2</v>
      </c>
      <c r="L47" s="23">
        <f t="shared" si="11"/>
        <v>2</v>
      </c>
      <c r="M47" s="23">
        <f t="shared" si="11"/>
        <v>1</v>
      </c>
      <c r="N47" s="23">
        <f t="shared" si="11"/>
        <v>2</v>
      </c>
      <c r="O47" s="23">
        <f t="shared" si="11"/>
        <v>14</v>
      </c>
      <c r="P47" s="23">
        <f t="shared" si="11"/>
        <v>2</v>
      </c>
      <c r="Q47" s="23">
        <f t="shared" si="11"/>
        <v>2</v>
      </c>
      <c r="R47" s="23">
        <f t="shared" si="11"/>
        <v>2</v>
      </c>
      <c r="S47" s="23">
        <f t="shared" si="11"/>
        <v>2</v>
      </c>
      <c r="T47" s="23">
        <f t="shared" si="11"/>
        <v>2</v>
      </c>
      <c r="U47" s="23">
        <f t="shared" si="11"/>
        <v>3</v>
      </c>
      <c r="V47" s="23">
        <f t="shared" si="11"/>
        <v>2</v>
      </c>
      <c r="W47" s="23">
        <f t="shared" si="11"/>
        <v>2</v>
      </c>
      <c r="X47" s="23">
        <f t="shared" si="11"/>
        <v>3</v>
      </c>
      <c r="Y47" s="23">
        <f t="shared" si="11"/>
        <v>2</v>
      </c>
      <c r="Z47" s="23">
        <f t="shared" si="11"/>
        <v>3</v>
      </c>
      <c r="AA47" s="23">
        <f t="shared" si="11"/>
        <v>2</v>
      </c>
      <c r="AB47" s="23">
        <f t="shared" si="11"/>
        <v>3</v>
      </c>
      <c r="AC47" s="23">
        <f t="shared" si="11"/>
        <v>3</v>
      </c>
      <c r="AD47" s="23">
        <f t="shared" si="11"/>
        <v>2</v>
      </c>
      <c r="AE47" s="23">
        <f t="shared" si="11"/>
        <v>3</v>
      </c>
      <c r="AF47" s="23">
        <f t="shared" si="11"/>
        <v>3</v>
      </c>
      <c r="AG47" s="23">
        <f t="shared" si="11"/>
        <v>3</v>
      </c>
      <c r="AH47" s="23">
        <f t="shared" si="11"/>
        <v>3</v>
      </c>
      <c r="AI47" s="23">
        <f t="shared" si="11"/>
        <v>4</v>
      </c>
      <c r="AJ47" s="23">
        <f t="shared" si="11"/>
        <v>3</v>
      </c>
      <c r="AK47" s="23">
        <f t="shared" si="11"/>
        <v>3</v>
      </c>
    </row>
    <row r="48" spans="3:37" ht="12.75">
      <c r="C48" s="3" t="str">
        <f>CONCATENATE("Additions @ ",E20)</f>
        <v>Additions @ 0.1</v>
      </c>
      <c r="D48" s="15"/>
      <c r="E48" s="17">
        <v>44</v>
      </c>
      <c r="F48" s="23">
        <f>F44-E44+F46</f>
        <v>1</v>
      </c>
      <c r="G48" s="23">
        <f aca="true" t="shared" si="12" ref="G48:AK48">G44-F44+G46</f>
        <v>6</v>
      </c>
      <c r="H48" s="23">
        <f t="shared" si="12"/>
        <v>6</v>
      </c>
      <c r="I48" s="23">
        <f t="shared" si="12"/>
        <v>7</v>
      </c>
      <c r="J48" s="23">
        <f t="shared" si="12"/>
        <v>7</v>
      </c>
      <c r="K48" s="23">
        <f t="shared" si="12"/>
        <v>8</v>
      </c>
      <c r="L48" s="23">
        <f t="shared" si="12"/>
        <v>9</v>
      </c>
      <c r="M48" s="23">
        <f t="shared" si="12"/>
        <v>10</v>
      </c>
      <c r="N48" s="23">
        <f t="shared" si="12"/>
        <v>11</v>
      </c>
      <c r="O48" s="23">
        <f t="shared" si="12"/>
        <v>24</v>
      </c>
      <c r="P48" s="23">
        <f t="shared" si="12"/>
        <v>14</v>
      </c>
      <c r="Q48" s="23">
        <f t="shared" si="12"/>
        <v>14</v>
      </c>
      <c r="R48" s="23">
        <f t="shared" si="12"/>
        <v>17</v>
      </c>
      <c r="S48" s="23">
        <f t="shared" si="12"/>
        <v>17</v>
      </c>
      <c r="T48" s="23">
        <f t="shared" si="12"/>
        <v>20</v>
      </c>
      <c r="U48" s="23">
        <f t="shared" si="12"/>
        <v>21</v>
      </c>
      <c r="V48" s="23">
        <f t="shared" si="12"/>
        <v>24</v>
      </c>
      <c r="W48" s="23">
        <f t="shared" si="12"/>
        <v>26</v>
      </c>
      <c r="X48" s="23">
        <f t="shared" si="12"/>
        <v>28</v>
      </c>
      <c r="Y48" s="23">
        <f t="shared" si="12"/>
        <v>31</v>
      </c>
      <c r="Z48" s="23">
        <f t="shared" si="12"/>
        <v>35</v>
      </c>
      <c r="AA48" s="23">
        <f t="shared" si="12"/>
        <v>38</v>
      </c>
      <c r="AB48" s="23">
        <f t="shared" si="12"/>
        <v>42</v>
      </c>
      <c r="AC48" s="23">
        <f t="shared" si="12"/>
        <v>46</v>
      </c>
      <c r="AD48" s="23">
        <f t="shared" si="12"/>
        <v>50</v>
      </c>
      <c r="AE48" s="23">
        <f t="shared" si="12"/>
        <v>56</v>
      </c>
      <c r="AF48" s="23">
        <f t="shared" si="12"/>
        <v>61</v>
      </c>
      <c r="AG48" s="23">
        <f t="shared" si="12"/>
        <v>67</v>
      </c>
      <c r="AH48" s="23">
        <f t="shared" si="12"/>
        <v>74</v>
      </c>
      <c r="AI48" s="23">
        <f t="shared" si="12"/>
        <v>81</v>
      </c>
      <c r="AJ48" s="23">
        <f t="shared" si="12"/>
        <v>90</v>
      </c>
      <c r="AK48" s="23">
        <f t="shared" si="12"/>
        <v>98</v>
      </c>
    </row>
    <row r="49" spans="3:37" ht="12.75">
      <c r="C49" s="3" t="s">
        <v>16</v>
      </c>
      <c r="D49" s="24">
        <v>5200</v>
      </c>
      <c r="E49" s="33">
        <v>5200</v>
      </c>
      <c r="F49" s="24">
        <f>E49</f>
        <v>5200</v>
      </c>
      <c r="G49" s="24">
        <f aca="true" t="shared" si="13" ref="G49:AK49">F49</f>
        <v>5200</v>
      </c>
      <c r="H49" s="24">
        <f t="shared" si="13"/>
        <v>5200</v>
      </c>
      <c r="I49" s="24">
        <f t="shared" si="13"/>
        <v>5200</v>
      </c>
      <c r="J49" s="24">
        <f t="shared" si="13"/>
        <v>5200</v>
      </c>
      <c r="K49" s="24">
        <f t="shared" si="13"/>
        <v>5200</v>
      </c>
      <c r="L49" s="24">
        <f t="shared" si="13"/>
        <v>5200</v>
      </c>
      <c r="M49" s="24">
        <f t="shared" si="13"/>
        <v>5200</v>
      </c>
      <c r="N49" s="24">
        <f t="shared" si="13"/>
        <v>5200</v>
      </c>
      <c r="O49" s="24">
        <f t="shared" si="13"/>
        <v>5200</v>
      </c>
      <c r="P49" s="24">
        <f t="shared" si="13"/>
        <v>5200</v>
      </c>
      <c r="Q49" s="24">
        <f t="shared" si="13"/>
        <v>5200</v>
      </c>
      <c r="R49" s="24">
        <f t="shared" si="13"/>
        <v>5200</v>
      </c>
      <c r="S49" s="24">
        <f t="shared" si="13"/>
        <v>5200</v>
      </c>
      <c r="T49" s="24">
        <f t="shared" si="13"/>
        <v>5200</v>
      </c>
      <c r="U49" s="24">
        <f t="shared" si="13"/>
        <v>5200</v>
      </c>
      <c r="V49" s="24">
        <f t="shared" si="13"/>
        <v>5200</v>
      </c>
      <c r="W49" s="24">
        <f t="shared" si="13"/>
        <v>5200</v>
      </c>
      <c r="X49" s="24">
        <f t="shared" si="13"/>
        <v>5200</v>
      </c>
      <c r="Y49" s="24">
        <f t="shared" si="13"/>
        <v>5200</v>
      </c>
      <c r="Z49" s="24">
        <f t="shared" si="13"/>
        <v>5200</v>
      </c>
      <c r="AA49" s="24">
        <f t="shared" si="13"/>
        <v>5200</v>
      </c>
      <c r="AB49" s="24">
        <f t="shared" si="13"/>
        <v>5200</v>
      </c>
      <c r="AC49" s="24">
        <f t="shared" si="13"/>
        <v>5200</v>
      </c>
      <c r="AD49" s="24">
        <f t="shared" si="13"/>
        <v>5200</v>
      </c>
      <c r="AE49" s="24">
        <f t="shared" si="13"/>
        <v>5200</v>
      </c>
      <c r="AF49" s="24">
        <f t="shared" si="13"/>
        <v>5200</v>
      </c>
      <c r="AG49" s="24">
        <f t="shared" si="13"/>
        <v>5200</v>
      </c>
      <c r="AH49" s="24">
        <f t="shared" si="13"/>
        <v>5200</v>
      </c>
      <c r="AI49" s="24">
        <f t="shared" si="13"/>
        <v>5200</v>
      </c>
      <c r="AJ49" s="24">
        <f t="shared" si="13"/>
        <v>5200</v>
      </c>
      <c r="AK49" s="24">
        <f t="shared" si="13"/>
        <v>5200</v>
      </c>
    </row>
    <row r="50" spans="3:37" ht="12.75">
      <c r="C50" s="3" t="s">
        <v>17</v>
      </c>
      <c r="D50" s="19">
        <v>468000</v>
      </c>
      <c r="E50" s="34">
        <v>468000</v>
      </c>
      <c r="F50" s="18">
        <f>$E$50*F24</f>
        <v>468000</v>
      </c>
      <c r="G50" s="18">
        <f aca="true" t="shared" si="14" ref="G50:AK50">$E$50*G24</f>
        <v>491400</v>
      </c>
      <c r="H50" s="18">
        <f t="shared" si="14"/>
        <v>515970</v>
      </c>
      <c r="I50" s="18">
        <f t="shared" si="14"/>
        <v>541768.5000000001</v>
      </c>
      <c r="J50" s="18">
        <f t="shared" si="14"/>
        <v>568856.9250000002</v>
      </c>
      <c r="K50" s="18">
        <f t="shared" si="14"/>
        <v>597299.7712500002</v>
      </c>
      <c r="L50" s="18">
        <f t="shared" si="14"/>
        <v>627164.7598125002</v>
      </c>
      <c r="M50" s="18">
        <f t="shared" si="14"/>
        <v>658522.9978031252</v>
      </c>
      <c r="N50" s="18">
        <f t="shared" si="14"/>
        <v>691449.1476932815</v>
      </c>
      <c r="O50" s="18">
        <f t="shared" si="14"/>
        <v>726021.6050779456</v>
      </c>
      <c r="P50" s="18">
        <f t="shared" si="14"/>
        <v>762322.6853318429</v>
      </c>
      <c r="Q50" s="18">
        <f t="shared" si="14"/>
        <v>800438.8195984351</v>
      </c>
      <c r="R50" s="18">
        <f t="shared" si="14"/>
        <v>840460.7605783568</v>
      </c>
      <c r="S50" s="18">
        <f t="shared" si="14"/>
        <v>882483.7986072747</v>
      </c>
      <c r="T50" s="18">
        <f t="shared" si="14"/>
        <v>926607.9885376383</v>
      </c>
      <c r="U50" s="18">
        <f t="shared" si="14"/>
        <v>972938.3879645204</v>
      </c>
      <c r="V50" s="18">
        <f t="shared" si="14"/>
        <v>1021585.3073627464</v>
      </c>
      <c r="W50" s="18">
        <f t="shared" si="14"/>
        <v>1072664.5727308837</v>
      </c>
      <c r="X50" s="18">
        <f t="shared" si="14"/>
        <v>1126297.801367428</v>
      </c>
      <c r="Y50" s="18">
        <f t="shared" si="14"/>
        <v>1182612.6914357992</v>
      </c>
      <c r="Z50" s="18">
        <f t="shared" si="14"/>
        <v>1241743.3260075892</v>
      </c>
      <c r="AA50" s="18">
        <f t="shared" si="14"/>
        <v>1303830.4923079687</v>
      </c>
      <c r="AB50" s="18">
        <f t="shared" si="14"/>
        <v>1369022.0169233668</v>
      </c>
      <c r="AC50" s="18">
        <f t="shared" si="14"/>
        <v>1437473.1177695354</v>
      </c>
      <c r="AD50" s="18">
        <f t="shared" si="14"/>
        <v>1509346.773658012</v>
      </c>
      <c r="AE50" s="18">
        <f t="shared" si="14"/>
        <v>1584814.1123409127</v>
      </c>
      <c r="AF50" s="18">
        <f t="shared" si="14"/>
        <v>1664054.8179579584</v>
      </c>
      <c r="AG50" s="18">
        <f t="shared" si="14"/>
        <v>1747257.5588558563</v>
      </c>
      <c r="AH50" s="18">
        <f t="shared" si="14"/>
        <v>1834620.4367986491</v>
      </c>
      <c r="AI50" s="18">
        <f t="shared" si="14"/>
        <v>1926351.4586385817</v>
      </c>
      <c r="AJ50" s="18">
        <f t="shared" si="14"/>
        <v>2022669.031570511</v>
      </c>
      <c r="AK50" s="18">
        <f t="shared" si="14"/>
        <v>2123802.4831490363</v>
      </c>
    </row>
    <row r="51" spans="3:37" ht="12.75">
      <c r="C51" s="3" t="s">
        <v>18</v>
      </c>
      <c r="D51" s="24">
        <v>90</v>
      </c>
      <c r="E51" s="35">
        <v>90</v>
      </c>
      <c r="F51" s="18">
        <f>F50/F49</f>
        <v>90</v>
      </c>
      <c r="G51" s="18">
        <f aca="true" t="shared" si="15" ref="G51:AK51">G50/G49</f>
        <v>94.5</v>
      </c>
      <c r="H51" s="18">
        <f t="shared" si="15"/>
        <v>99.225</v>
      </c>
      <c r="I51" s="18">
        <f t="shared" si="15"/>
        <v>104.18625000000002</v>
      </c>
      <c r="J51" s="18">
        <f t="shared" si="15"/>
        <v>109.39556250000003</v>
      </c>
      <c r="K51" s="18">
        <f t="shared" si="15"/>
        <v>114.86534062500004</v>
      </c>
      <c r="L51" s="18">
        <f t="shared" si="15"/>
        <v>120.60860765625004</v>
      </c>
      <c r="M51" s="18">
        <f t="shared" si="15"/>
        <v>126.63903803906254</v>
      </c>
      <c r="N51" s="18">
        <f t="shared" si="15"/>
        <v>132.9709899410157</v>
      </c>
      <c r="O51" s="18">
        <f t="shared" si="15"/>
        <v>139.61953943806645</v>
      </c>
      <c r="P51" s="18">
        <f t="shared" si="15"/>
        <v>146.60051640996977</v>
      </c>
      <c r="Q51" s="18">
        <f t="shared" si="15"/>
        <v>153.9305422304683</v>
      </c>
      <c r="R51" s="18">
        <f t="shared" si="15"/>
        <v>161.6270693419917</v>
      </c>
      <c r="S51" s="18">
        <f t="shared" si="15"/>
        <v>169.70842280909127</v>
      </c>
      <c r="T51" s="18">
        <f t="shared" si="15"/>
        <v>178.19384394954582</v>
      </c>
      <c r="U51" s="18">
        <f t="shared" si="15"/>
        <v>187.10353614702314</v>
      </c>
      <c r="V51" s="18">
        <f t="shared" si="15"/>
        <v>196.4587129543743</v>
      </c>
      <c r="W51" s="18">
        <f t="shared" si="15"/>
        <v>206.28164860209301</v>
      </c>
      <c r="X51" s="18">
        <f t="shared" si="15"/>
        <v>216.59573103219768</v>
      </c>
      <c r="Y51" s="18">
        <f t="shared" si="15"/>
        <v>227.42551758380753</v>
      </c>
      <c r="Z51" s="18">
        <f t="shared" si="15"/>
        <v>238.79679346299793</v>
      </c>
      <c r="AA51" s="18">
        <f t="shared" si="15"/>
        <v>250.73663313614782</v>
      </c>
      <c r="AB51" s="18">
        <f t="shared" si="15"/>
        <v>263.27346479295517</v>
      </c>
      <c r="AC51" s="18">
        <f t="shared" si="15"/>
        <v>276.43713803260295</v>
      </c>
      <c r="AD51" s="18">
        <f t="shared" si="15"/>
        <v>290.2589949342331</v>
      </c>
      <c r="AE51" s="18">
        <f t="shared" si="15"/>
        <v>304.7719446809447</v>
      </c>
      <c r="AF51" s="18">
        <f t="shared" si="15"/>
        <v>320.010541914992</v>
      </c>
      <c r="AG51" s="18">
        <f t="shared" si="15"/>
        <v>336.0110690107416</v>
      </c>
      <c r="AH51" s="18">
        <f t="shared" si="15"/>
        <v>352.81162246127866</v>
      </c>
      <c r="AI51" s="18">
        <f t="shared" si="15"/>
        <v>370.4522035843426</v>
      </c>
      <c r="AJ51" s="18">
        <f t="shared" si="15"/>
        <v>388.9748137635598</v>
      </c>
      <c r="AK51" s="18">
        <f t="shared" si="15"/>
        <v>408.42355445173774</v>
      </c>
    </row>
    <row r="52" spans="3:37" ht="12.75">
      <c r="C52" s="7" t="s">
        <v>95</v>
      </c>
      <c r="D52" s="24">
        <v>0.04</v>
      </c>
      <c r="E52" s="35">
        <v>0.04</v>
      </c>
      <c r="F52" s="24">
        <v>0.04</v>
      </c>
      <c r="G52" s="24">
        <v>0.04</v>
      </c>
      <c r="H52" s="24">
        <v>0.04</v>
      </c>
      <c r="I52" s="24">
        <v>0.04</v>
      </c>
      <c r="J52" s="24">
        <v>0.04</v>
      </c>
      <c r="K52" s="24">
        <v>0.04</v>
      </c>
      <c r="L52" s="24">
        <v>0.04</v>
      </c>
      <c r="M52" s="24">
        <v>0.04</v>
      </c>
      <c r="N52" s="24">
        <v>0.04</v>
      </c>
      <c r="O52" s="24">
        <v>0.04</v>
      </c>
      <c r="P52" s="24">
        <v>0.04</v>
      </c>
      <c r="Q52" s="24">
        <v>0.04</v>
      </c>
      <c r="R52" s="24">
        <v>0.04</v>
      </c>
      <c r="S52" s="24">
        <v>0.04</v>
      </c>
      <c r="T52" s="24">
        <v>0.04</v>
      </c>
      <c r="U52" s="24">
        <v>0.04</v>
      </c>
      <c r="V52" s="24">
        <v>0.04</v>
      </c>
      <c r="W52" s="24">
        <v>0.04</v>
      </c>
      <c r="X52" s="24">
        <v>0.04</v>
      </c>
      <c r="Y52" s="24">
        <v>0.04</v>
      </c>
      <c r="Z52" s="24">
        <v>0.04</v>
      </c>
      <c r="AA52" s="24">
        <v>0.04</v>
      </c>
      <c r="AB52" s="24">
        <v>0.04</v>
      </c>
      <c r="AC52" s="24">
        <v>0.04</v>
      </c>
      <c r="AD52" s="24">
        <v>0.04</v>
      </c>
      <c r="AE52" s="24">
        <v>0.04</v>
      </c>
      <c r="AF52" s="24">
        <v>0.04</v>
      </c>
      <c r="AG52" s="24">
        <v>0.04</v>
      </c>
      <c r="AH52" s="24">
        <v>0.04</v>
      </c>
      <c r="AI52" s="24">
        <v>0.04</v>
      </c>
      <c r="AJ52" s="24">
        <v>0.04</v>
      </c>
      <c r="AK52" s="24">
        <v>0.04</v>
      </c>
    </row>
    <row r="53" spans="3:37" ht="12.75">
      <c r="C53" s="3" t="str">
        <f>CONCATENATE("Total Electric Horsepower @ ",E19)</f>
        <v>Total Electric Horsepower @ 0.027</v>
      </c>
      <c r="D53" s="19">
        <v>254800</v>
      </c>
      <c r="E53" s="36">
        <f>E43*$E$49</f>
        <v>291200</v>
      </c>
      <c r="F53" s="19">
        <f aca="true" t="shared" si="16" ref="F53:AK53">F43*$E$49</f>
        <v>296400</v>
      </c>
      <c r="G53" s="19">
        <f t="shared" si="16"/>
        <v>301600</v>
      </c>
      <c r="H53" s="19">
        <f t="shared" si="16"/>
        <v>312000</v>
      </c>
      <c r="I53" s="19">
        <f t="shared" si="16"/>
        <v>322400</v>
      </c>
      <c r="J53" s="19">
        <f t="shared" si="16"/>
        <v>327600</v>
      </c>
      <c r="K53" s="19">
        <f t="shared" si="16"/>
        <v>338000</v>
      </c>
      <c r="L53" s="19">
        <f t="shared" si="16"/>
        <v>348400</v>
      </c>
      <c r="M53" s="19">
        <f t="shared" si="16"/>
        <v>353600</v>
      </c>
      <c r="N53" s="19">
        <f t="shared" si="16"/>
        <v>364000</v>
      </c>
      <c r="O53" s="19">
        <f t="shared" si="16"/>
        <v>374400</v>
      </c>
      <c r="P53" s="19">
        <f t="shared" si="16"/>
        <v>384800</v>
      </c>
      <c r="Q53" s="19">
        <f t="shared" si="16"/>
        <v>395200</v>
      </c>
      <c r="R53" s="19">
        <f t="shared" si="16"/>
        <v>405600</v>
      </c>
      <c r="S53" s="19">
        <f t="shared" si="16"/>
        <v>416000</v>
      </c>
      <c r="T53" s="19">
        <f t="shared" si="16"/>
        <v>426400</v>
      </c>
      <c r="U53" s="19">
        <f t="shared" si="16"/>
        <v>442000</v>
      </c>
      <c r="V53" s="19">
        <f t="shared" si="16"/>
        <v>452400</v>
      </c>
      <c r="W53" s="19">
        <f t="shared" si="16"/>
        <v>462800</v>
      </c>
      <c r="X53" s="19">
        <f t="shared" si="16"/>
        <v>478400</v>
      </c>
      <c r="Y53" s="19">
        <f t="shared" si="16"/>
        <v>488800</v>
      </c>
      <c r="Z53" s="19">
        <f t="shared" si="16"/>
        <v>504400</v>
      </c>
      <c r="AA53" s="19">
        <f t="shared" si="16"/>
        <v>514800</v>
      </c>
      <c r="AB53" s="19">
        <f t="shared" si="16"/>
        <v>530400</v>
      </c>
      <c r="AC53" s="19">
        <f t="shared" si="16"/>
        <v>546000</v>
      </c>
      <c r="AD53" s="19">
        <f t="shared" si="16"/>
        <v>556400</v>
      </c>
      <c r="AE53" s="19">
        <f t="shared" si="16"/>
        <v>572000</v>
      </c>
      <c r="AF53" s="19">
        <f t="shared" si="16"/>
        <v>587600</v>
      </c>
      <c r="AG53" s="19">
        <f t="shared" si="16"/>
        <v>603200</v>
      </c>
      <c r="AH53" s="19">
        <f t="shared" si="16"/>
        <v>618800</v>
      </c>
      <c r="AI53" s="19">
        <f t="shared" si="16"/>
        <v>639600</v>
      </c>
      <c r="AJ53" s="19">
        <f t="shared" si="16"/>
        <v>655200</v>
      </c>
      <c r="AK53" s="19">
        <f t="shared" si="16"/>
        <v>670800</v>
      </c>
    </row>
    <row r="54" spans="3:37" ht="12.75">
      <c r="C54" s="3" t="str">
        <f>CONCATENATE("Total Electric Horsepower @ ",E20)</f>
        <v>Total Electric Horsepower @ 0.1</v>
      </c>
      <c r="D54" s="19">
        <v>254800</v>
      </c>
      <c r="E54" s="36">
        <f>E44*$E$49</f>
        <v>291200</v>
      </c>
      <c r="F54" s="19">
        <f aca="true" t="shared" si="17" ref="F54:AK54">F44*$E$49</f>
        <v>296400</v>
      </c>
      <c r="G54" s="19">
        <f t="shared" si="17"/>
        <v>327600</v>
      </c>
      <c r="H54" s="19">
        <f t="shared" si="17"/>
        <v>358800</v>
      </c>
      <c r="I54" s="19">
        <f t="shared" si="17"/>
        <v>395200</v>
      </c>
      <c r="J54" s="19">
        <f t="shared" si="17"/>
        <v>431600</v>
      </c>
      <c r="K54" s="19">
        <f t="shared" si="17"/>
        <v>473200</v>
      </c>
      <c r="L54" s="19">
        <f t="shared" si="17"/>
        <v>520000</v>
      </c>
      <c r="M54" s="19">
        <f t="shared" si="17"/>
        <v>572000</v>
      </c>
      <c r="N54" s="19">
        <f t="shared" si="17"/>
        <v>629200</v>
      </c>
      <c r="O54" s="19">
        <f t="shared" si="17"/>
        <v>691600</v>
      </c>
      <c r="P54" s="19">
        <f t="shared" si="17"/>
        <v>764400</v>
      </c>
      <c r="Q54" s="19">
        <f t="shared" si="17"/>
        <v>837200</v>
      </c>
      <c r="R54" s="19">
        <f t="shared" si="17"/>
        <v>925600</v>
      </c>
      <c r="S54" s="19">
        <f t="shared" si="17"/>
        <v>1014000</v>
      </c>
      <c r="T54" s="19">
        <f t="shared" si="17"/>
        <v>1118000</v>
      </c>
      <c r="U54" s="19">
        <f t="shared" si="17"/>
        <v>1227200</v>
      </c>
      <c r="V54" s="19">
        <f t="shared" si="17"/>
        <v>1352000</v>
      </c>
      <c r="W54" s="19">
        <f t="shared" si="17"/>
        <v>1487200</v>
      </c>
      <c r="X54" s="19">
        <f t="shared" si="17"/>
        <v>1632800</v>
      </c>
      <c r="Y54" s="19">
        <f t="shared" si="17"/>
        <v>1794000</v>
      </c>
      <c r="Z54" s="19">
        <f t="shared" si="17"/>
        <v>1976000</v>
      </c>
      <c r="AA54" s="19">
        <f t="shared" si="17"/>
        <v>2173600</v>
      </c>
      <c r="AB54" s="19">
        <f t="shared" si="17"/>
        <v>2392000</v>
      </c>
      <c r="AC54" s="19">
        <f t="shared" si="17"/>
        <v>2631200</v>
      </c>
      <c r="AD54" s="19">
        <f t="shared" si="17"/>
        <v>2891200</v>
      </c>
      <c r="AE54" s="19">
        <f t="shared" si="17"/>
        <v>3182400</v>
      </c>
      <c r="AF54" s="19">
        <f t="shared" si="17"/>
        <v>3499600</v>
      </c>
      <c r="AG54" s="19">
        <f t="shared" si="17"/>
        <v>3848000</v>
      </c>
      <c r="AH54" s="19">
        <f t="shared" si="17"/>
        <v>4232800</v>
      </c>
      <c r="AI54" s="19">
        <f t="shared" si="17"/>
        <v>4654000</v>
      </c>
      <c r="AJ54" s="19">
        <f t="shared" si="17"/>
        <v>5122000</v>
      </c>
      <c r="AK54" s="19">
        <f t="shared" si="17"/>
        <v>5631600</v>
      </c>
    </row>
    <row r="55" spans="3:37" ht="12.75">
      <c r="C55" s="3" t="s">
        <v>19</v>
      </c>
      <c r="D55" s="21">
        <v>0.95</v>
      </c>
      <c r="E55" s="20">
        <v>0.95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3:37" ht="12.75">
      <c r="C56" s="3" t="str">
        <f>CONCATENATE("Net Electric Horsepower @ ",E19)</f>
        <v>Net Electric Horsepower @ 0.027</v>
      </c>
      <c r="D56" s="19">
        <v>242060</v>
      </c>
      <c r="E56" s="19">
        <f>E53*$E$55</f>
        <v>276640</v>
      </c>
      <c r="F56" s="19">
        <f aca="true" t="shared" si="18" ref="F56:AK56">F53*$E$55</f>
        <v>281580</v>
      </c>
      <c r="G56" s="19">
        <f t="shared" si="18"/>
        <v>286520</v>
      </c>
      <c r="H56" s="19">
        <f t="shared" si="18"/>
        <v>296400</v>
      </c>
      <c r="I56" s="19">
        <f t="shared" si="18"/>
        <v>306280</v>
      </c>
      <c r="J56" s="19">
        <f t="shared" si="18"/>
        <v>311220</v>
      </c>
      <c r="K56" s="19">
        <f t="shared" si="18"/>
        <v>321100</v>
      </c>
      <c r="L56" s="19">
        <f t="shared" si="18"/>
        <v>330980</v>
      </c>
      <c r="M56" s="19">
        <f t="shared" si="18"/>
        <v>335920</v>
      </c>
      <c r="N56" s="19">
        <f t="shared" si="18"/>
        <v>345800</v>
      </c>
      <c r="O56" s="19">
        <f t="shared" si="18"/>
        <v>355680</v>
      </c>
      <c r="P56" s="19">
        <f t="shared" si="18"/>
        <v>365560</v>
      </c>
      <c r="Q56" s="19">
        <f t="shared" si="18"/>
        <v>375440</v>
      </c>
      <c r="R56" s="19">
        <f t="shared" si="18"/>
        <v>385320</v>
      </c>
      <c r="S56" s="19">
        <f t="shared" si="18"/>
        <v>395200</v>
      </c>
      <c r="T56" s="19">
        <f t="shared" si="18"/>
        <v>405080</v>
      </c>
      <c r="U56" s="19">
        <f t="shared" si="18"/>
        <v>419900</v>
      </c>
      <c r="V56" s="19">
        <f t="shared" si="18"/>
        <v>429780</v>
      </c>
      <c r="W56" s="19">
        <f t="shared" si="18"/>
        <v>439660</v>
      </c>
      <c r="X56" s="19">
        <f t="shared" si="18"/>
        <v>454480</v>
      </c>
      <c r="Y56" s="19">
        <f t="shared" si="18"/>
        <v>464360</v>
      </c>
      <c r="Z56" s="19">
        <f t="shared" si="18"/>
        <v>479180</v>
      </c>
      <c r="AA56" s="19">
        <f t="shared" si="18"/>
        <v>489060</v>
      </c>
      <c r="AB56" s="19">
        <f t="shared" si="18"/>
        <v>503880</v>
      </c>
      <c r="AC56" s="19">
        <f t="shared" si="18"/>
        <v>518700</v>
      </c>
      <c r="AD56" s="19">
        <f t="shared" si="18"/>
        <v>528580</v>
      </c>
      <c r="AE56" s="19">
        <f t="shared" si="18"/>
        <v>543400</v>
      </c>
      <c r="AF56" s="19">
        <f t="shared" si="18"/>
        <v>558220</v>
      </c>
      <c r="AG56" s="19">
        <f t="shared" si="18"/>
        <v>573040</v>
      </c>
      <c r="AH56" s="19">
        <f t="shared" si="18"/>
        <v>587860</v>
      </c>
      <c r="AI56" s="19">
        <f t="shared" si="18"/>
        <v>607620</v>
      </c>
      <c r="AJ56" s="19">
        <f t="shared" si="18"/>
        <v>622440</v>
      </c>
      <c r="AK56" s="19">
        <f t="shared" si="18"/>
        <v>637260</v>
      </c>
    </row>
    <row r="57" spans="3:37" ht="12.75">
      <c r="C57" s="3" t="str">
        <f>CONCATENATE("Net Electric Horsepower @ ",E20)</f>
        <v>Net Electric Horsepower @ 0.1</v>
      </c>
      <c r="D57" s="19">
        <v>242060</v>
      </c>
      <c r="E57" s="19">
        <f>E54*$E$55</f>
        <v>276640</v>
      </c>
      <c r="F57" s="19">
        <f aca="true" t="shared" si="19" ref="F57:AK57">F54*$E$55</f>
        <v>281580</v>
      </c>
      <c r="G57" s="19">
        <f t="shared" si="19"/>
        <v>311220</v>
      </c>
      <c r="H57" s="19">
        <f t="shared" si="19"/>
        <v>340860</v>
      </c>
      <c r="I57" s="19">
        <f t="shared" si="19"/>
        <v>375440</v>
      </c>
      <c r="J57" s="19">
        <f t="shared" si="19"/>
        <v>410020</v>
      </c>
      <c r="K57" s="19">
        <f t="shared" si="19"/>
        <v>449540</v>
      </c>
      <c r="L57" s="19">
        <f t="shared" si="19"/>
        <v>494000</v>
      </c>
      <c r="M57" s="19">
        <f t="shared" si="19"/>
        <v>543400</v>
      </c>
      <c r="N57" s="19">
        <f t="shared" si="19"/>
        <v>597740</v>
      </c>
      <c r="O57" s="19">
        <f t="shared" si="19"/>
        <v>657020</v>
      </c>
      <c r="P57" s="19">
        <f t="shared" si="19"/>
        <v>726180</v>
      </c>
      <c r="Q57" s="19">
        <f t="shared" si="19"/>
        <v>795340</v>
      </c>
      <c r="R57" s="19">
        <f t="shared" si="19"/>
        <v>879320</v>
      </c>
      <c r="S57" s="19">
        <f t="shared" si="19"/>
        <v>963300</v>
      </c>
      <c r="T57" s="19">
        <f t="shared" si="19"/>
        <v>1062100</v>
      </c>
      <c r="U57" s="19">
        <f t="shared" si="19"/>
        <v>1165840</v>
      </c>
      <c r="V57" s="19">
        <f t="shared" si="19"/>
        <v>1284400</v>
      </c>
      <c r="W57" s="19">
        <f t="shared" si="19"/>
        <v>1412840</v>
      </c>
      <c r="X57" s="19">
        <f t="shared" si="19"/>
        <v>1551160</v>
      </c>
      <c r="Y57" s="19">
        <f t="shared" si="19"/>
        <v>1704300</v>
      </c>
      <c r="Z57" s="19">
        <f t="shared" si="19"/>
        <v>1877200</v>
      </c>
      <c r="AA57" s="19">
        <f t="shared" si="19"/>
        <v>2064920</v>
      </c>
      <c r="AB57" s="19">
        <f t="shared" si="19"/>
        <v>2272400</v>
      </c>
      <c r="AC57" s="19">
        <f t="shared" si="19"/>
        <v>2499640</v>
      </c>
      <c r="AD57" s="19">
        <f t="shared" si="19"/>
        <v>2746640</v>
      </c>
      <c r="AE57" s="19">
        <f t="shared" si="19"/>
        <v>3023280</v>
      </c>
      <c r="AF57" s="19">
        <f t="shared" si="19"/>
        <v>3324620</v>
      </c>
      <c r="AG57" s="19">
        <f t="shared" si="19"/>
        <v>3655600</v>
      </c>
      <c r="AH57" s="19">
        <f t="shared" si="19"/>
        <v>4021160</v>
      </c>
      <c r="AI57" s="19">
        <f t="shared" si="19"/>
        <v>4421300</v>
      </c>
      <c r="AJ57" s="19">
        <f t="shared" si="19"/>
        <v>4865900</v>
      </c>
      <c r="AK57" s="19">
        <f t="shared" si="19"/>
        <v>5350020</v>
      </c>
    </row>
    <row r="58" spans="3:37" ht="12.75">
      <c r="C58" s="3" t="str">
        <f>CONCATENATE("Total Electric Locomotive Cost @ ",E19)</f>
        <v>Total Electric Locomotive Cost @ 0.027</v>
      </c>
      <c r="D58" s="18">
        <v>17316000</v>
      </c>
      <c r="E58" s="18">
        <f>E47*$E$50</f>
        <v>20592000</v>
      </c>
      <c r="F58" s="18">
        <f aca="true" t="shared" si="20" ref="F58:AK58">F47*$E$50</f>
        <v>468000</v>
      </c>
      <c r="G58" s="18">
        <f t="shared" si="20"/>
        <v>468000</v>
      </c>
      <c r="H58" s="18">
        <f t="shared" si="20"/>
        <v>936000</v>
      </c>
      <c r="I58" s="18">
        <f t="shared" si="20"/>
        <v>936000</v>
      </c>
      <c r="J58" s="18">
        <f t="shared" si="20"/>
        <v>468000</v>
      </c>
      <c r="K58" s="18">
        <f t="shared" si="20"/>
        <v>936000</v>
      </c>
      <c r="L58" s="18">
        <f t="shared" si="20"/>
        <v>936000</v>
      </c>
      <c r="M58" s="18">
        <f t="shared" si="20"/>
        <v>468000</v>
      </c>
      <c r="N58" s="18">
        <f t="shared" si="20"/>
        <v>936000</v>
      </c>
      <c r="O58" s="18">
        <f t="shared" si="20"/>
        <v>6552000</v>
      </c>
      <c r="P58" s="18">
        <f t="shared" si="20"/>
        <v>936000</v>
      </c>
      <c r="Q58" s="18">
        <f t="shared" si="20"/>
        <v>936000</v>
      </c>
      <c r="R58" s="18">
        <f t="shared" si="20"/>
        <v>936000</v>
      </c>
      <c r="S58" s="18">
        <f t="shared" si="20"/>
        <v>936000</v>
      </c>
      <c r="T58" s="18">
        <f t="shared" si="20"/>
        <v>936000</v>
      </c>
      <c r="U58" s="18">
        <f t="shared" si="20"/>
        <v>1404000</v>
      </c>
      <c r="V58" s="18">
        <f t="shared" si="20"/>
        <v>936000</v>
      </c>
      <c r="W58" s="18">
        <f t="shared" si="20"/>
        <v>936000</v>
      </c>
      <c r="X58" s="18">
        <f t="shared" si="20"/>
        <v>1404000</v>
      </c>
      <c r="Y58" s="18">
        <f t="shared" si="20"/>
        <v>936000</v>
      </c>
      <c r="Z58" s="18">
        <f t="shared" si="20"/>
        <v>1404000</v>
      </c>
      <c r="AA58" s="18">
        <f t="shared" si="20"/>
        <v>936000</v>
      </c>
      <c r="AB58" s="18">
        <f t="shared" si="20"/>
        <v>1404000</v>
      </c>
      <c r="AC58" s="18">
        <f t="shared" si="20"/>
        <v>1404000</v>
      </c>
      <c r="AD58" s="18">
        <f t="shared" si="20"/>
        <v>936000</v>
      </c>
      <c r="AE58" s="18">
        <f t="shared" si="20"/>
        <v>1404000</v>
      </c>
      <c r="AF58" s="18">
        <f t="shared" si="20"/>
        <v>1404000</v>
      </c>
      <c r="AG58" s="18">
        <f t="shared" si="20"/>
        <v>1404000</v>
      </c>
      <c r="AH58" s="18">
        <f t="shared" si="20"/>
        <v>1404000</v>
      </c>
      <c r="AI58" s="18">
        <f t="shared" si="20"/>
        <v>1872000</v>
      </c>
      <c r="AJ58" s="18">
        <f t="shared" si="20"/>
        <v>1404000</v>
      </c>
      <c r="AK58" s="18">
        <f t="shared" si="20"/>
        <v>1404000</v>
      </c>
    </row>
    <row r="59" spans="3:37" ht="12.75">
      <c r="C59" s="3" t="str">
        <f>CONCATENATE("Total Electric Locomotive Cost @ ",E20)</f>
        <v>Total Electric Locomotive Cost @ 0.1</v>
      </c>
      <c r="D59" s="18">
        <v>17316000</v>
      </c>
      <c r="E59" s="18">
        <f>E48*$E$50</f>
        <v>20592000</v>
      </c>
      <c r="F59" s="18">
        <f aca="true" t="shared" si="21" ref="F59:AK59">F48*$E$50</f>
        <v>468000</v>
      </c>
      <c r="G59" s="18">
        <f t="shared" si="21"/>
        <v>2808000</v>
      </c>
      <c r="H59" s="18">
        <f t="shared" si="21"/>
        <v>2808000</v>
      </c>
      <c r="I59" s="18">
        <f t="shared" si="21"/>
        <v>3276000</v>
      </c>
      <c r="J59" s="18">
        <f t="shared" si="21"/>
        <v>3276000</v>
      </c>
      <c r="K59" s="18">
        <f t="shared" si="21"/>
        <v>3744000</v>
      </c>
      <c r="L59" s="18">
        <f t="shared" si="21"/>
        <v>4212000</v>
      </c>
      <c r="M59" s="18">
        <f t="shared" si="21"/>
        <v>4680000</v>
      </c>
      <c r="N59" s="18">
        <f t="shared" si="21"/>
        <v>5148000</v>
      </c>
      <c r="O59" s="18">
        <f t="shared" si="21"/>
        <v>11232000</v>
      </c>
      <c r="P59" s="18">
        <f t="shared" si="21"/>
        <v>6552000</v>
      </c>
      <c r="Q59" s="18">
        <f t="shared" si="21"/>
        <v>6552000</v>
      </c>
      <c r="R59" s="18">
        <f t="shared" si="21"/>
        <v>7956000</v>
      </c>
      <c r="S59" s="18">
        <f t="shared" si="21"/>
        <v>7956000</v>
      </c>
      <c r="T59" s="18">
        <f t="shared" si="21"/>
        <v>9360000</v>
      </c>
      <c r="U59" s="18">
        <f t="shared" si="21"/>
        <v>9828000</v>
      </c>
      <c r="V59" s="18">
        <f t="shared" si="21"/>
        <v>11232000</v>
      </c>
      <c r="W59" s="18">
        <f t="shared" si="21"/>
        <v>12168000</v>
      </c>
      <c r="X59" s="18">
        <f t="shared" si="21"/>
        <v>13104000</v>
      </c>
      <c r="Y59" s="18">
        <f t="shared" si="21"/>
        <v>14508000</v>
      </c>
      <c r="Z59" s="18">
        <f t="shared" si="21"/>
        <v>16380000</v>
      </c>
      <c r="AA59" s="18">
        <f t="shared" si="21"/>
        <v>17784000</v>
      </c>
      <c r="AB59" s="18">
        <f t="shared" si="21"/>
        <v>19656000</v>
      </c>
      <c r="AC59" s="18">
        <f t="shared" si="21"/>
        <v>21528000</v>
      </c>
      <c r="AD59" s="18">
        <f t="shared" si="21"/>
        <v>23400000</v>
      </c>
      <c r="AE59" s="18">
        <f t="shared" si="21"/>
        <v>26208000</v>
      </c>
      <c r="AF59" s="18">
        <f t="shared" si="21"/>
        <v>28548000</v>
      </c>
      <c r="AG59" s="18">
        <f t="shared" si="21"/>
        <v>31356000</v>
      </c>
      <c r="AH59" s="18">
        <f t="shared" si="21"/>
        <v>34632000</v>
      </c>
      <c r="AI59" s="18">
        <f t="shared" si="21"/>
        <v>37908000</v>
      </c>
      <c r="AJ59" s="18">
        <f t="shared" si="21"/>
        <v>42120000</v>
      </c>
      <c r="AK59" s="18">
        <f t="shared" si="21"/>
        <v>45864000</v>
      </c>
    </row>
    <row r="60" spans="3:37" ht="12.75">
      <c r="C60" s="3" t="str">
        <f>CONCATENATE("NPV, Total Electric Locomotive Cost @",E19)</f>
        <v>NPV, Total Electric Locomotive Cost @0.027</v>
      </c>
      <c r="D60" s="18"/>
      <c r="E60" s="18">
        <f>NPV(E21,E58:AK58)</f>
        <v>26006926.19943056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</row>
    <row r="61" spans="3:37" ht="12.75">
      <c r="C61" s="3" t="str">
        <f>CONCATENATE("NPV, Total Electric Locomotive Cost @",E20)</f>
        <v>NPV, Total Electric Locomotive Cost @0.1</v>
      </c>
      <c r="D61" s="18"/>
      <c r="E61" s="18">
        <f>NPV(E21,E59:AK59)</f>
        <v>65375917.93785834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</row>
    <row r="62" spans="3:37" ht="12.75">
      <c r="C62" s="3" t="s">
        <v>20</v>
      </c>
      <c r="D62" s="23">
        <f>D29</f>
        <v>30</v>
      </c>
      <c r="E62" s="23">
        <f>E29</f>
        <v>30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3:37" ht="12.75">
      <c r="C63" s="3" t="str">
        <f>CONCATENATE("Electric Locomotive Lease @",E19)</f>
        <v>Electric Locomotive Lease @0.027</v>
      </c>
      <c r="D63" s="24"/>
      <c r="E63" s="18">
        <f>-PMT($E$22,$E$29,E58,E58*0.1,1)</f>
        <v>1852712.9932342416</v>
      </c>
      <c r="F63" s="22">
        <f>E63-PMT($E$22,$E$29,F58,F58*0.1,1)</f>
        <v>1894820.106716838</v>
      </c>
      <c r="G63" s="18">
        <f aca="true" t="shared" si="22" ref="G63:AK63">F63-PMT($E$22,$E$29,G58,G58*0.1,1)</f>
        <v>1936927.2201994343</v>
      </c>
      <c r="H63" s="18">
        <f t="shared" si="22"/>
        <v>2021141.447164627</v>
      </c>
      <c r="I63" s="18">
        <f t="shared" si="22"/>
        <v>2105355.67412982</v>
      </c>
      <c r="J63" s="18">
        <f t="shared" si="22"/>
        <v>2147462.7876124163</v>
      </c>
      <c r="K63" s="18">
        <f t="shared" si="22"/>
        <v>2231677.014577609</v>
      </c>
      <c r="L63" s="18">
        <f t="shared" si="22"/>
        <v>2315891.2415428017</v>
      </c>
      <c r="M63" s="18">
        <f t="shared" si="22"/>
        <v>2357998.355025398</v>
      </c>
      <c r="N63" s="18">
        <f t="shared" si="22"/>
        <v>2442212.581990591</v>
      </c>
      <c r="O63" s="18">
        <f t="shared" si="22"/>
        <v>3031712.17074694</v>
      </c>
      <c r="P63" s="18">
        <f t="shared" si="22"/>
        <v>3115926.397712133</v>
      </c>
      <c r="Q63" s="18">
        <f t="shared" si="22"/>
        <v>3200140.6246773256</v>
      </c>
      <c r="R63" s="18">
        <f t="shared" si="22"/>
        <v>3284354.8516425183</v>
      </c>
      <c r="S63" s="18">
        <f t="shared" si="22"/>
        <v>3368569.078607711</v>
      </c>
      <c r="T63" s="18">
        <f t="shared" si="22"/>
        <v>3452783.3055729037</v>
      </c>
      <c r="U63" s="18">
        <f t="shared" si="22"/>
        <v>3579104.646020693</v>
      </c>
      <c r="V63" s="18">
        <f t="shared" si="22"/>
        <v>3663318.8729858855</v>
      </c>
      <c r="W63" s="18">
        <f t="shared" si="22"/>
        <v>3747533.099951078</v>
      </c>
      <c r="X63" s="18">
        <f t="shared" si="22"/>
        <v>3873854.4403988672</v>
      </c>
      <c r="Y63" s="18">
        <f t="shared" si="22"/>
        <v>3958068.66736406</v>
      </c>
      <c r="Z63" s="18">
        <f t="shared" si="22"/>
        <v>4084390.007811849</v>
      </c>
      <c r="AA63" s="18">
        <f t="shared" si="22"/>
        <v>4168604.2347770417</v>
      </c>
      <c r="AB63" s="18">
        <f t="shared" si="22"/>
        <v>4294925.575224831</v>
      </c>
      <c r="AC63" s="18">
        <f t="shared" si="22"/>
        <v>4421246.91567262</v>
      </c>
      <c r="AD63" s="18">
        <f t="shared" si="22"/>
        <v>4505461.1426378125</v>
      </c>
      <c r="AE63" s="18">
        <f t="shared" si="22"/>
        <v>4631782.483085602</v>
      </c>
      <c r="AF63" s="18">
        <f t="shared" si="22"/>
        <v>4758103.823533391</v>
      </c>
      <c r="AG63" s="18">
        <f t="shared" si="22"/>
        <v>4884425.16398118</v>
      </c>
      <c r="AH63" s="18">
        <f t="shared" si="22"/>
        <v>5010746.504428969</v>
      </c>
      <c r="AI63" s="18">
        <f t="shared" si="22"/>
        <v>5179174.958359354</v>
      </c>
      <c r="AJ63" s="18">
        <f t="shared" si="22"/>
        <v>5305496.298807143</v>
      </c>
      <c r="AK63" s="18">
        <f t="shared" si="22"/>
        <v>5431817.639254932</v>
      </c>
    </row>
    <row r="64" spans="3:37" ht="12.75">
      <c r="C64" s="3" t="str">
        <f>CONCATENATE("Electric Locomotive Lease @",E20)</f>
        <v>Electric Locomotive Lease @0.1</v>
      </c>
      <c r="D64" s="24"/>
      <c r="E64" s="18">
        <f>-PMT($E$22,$E$29,E59,E59*0.1,1)</f>
        <v>1852712.9932342416</v>
      </c>
      <c r="F64" s="22">
        <f>E64-PMT($E$22,$E$29,F59,F59*0.1,1)</f>
        <v>1894820.106716838</v>
      </c>
      <c r="G64" s="18">
        <f aca="true" t="shared" si="23" ref="G64:AK64">F64-PMT($E$22,$E$29,G59,G59*0.1,1)</f>
        <v>2147462.7876124163</v>
      </c>
      <c r="H64" s="18">
        <f t="shared" si="23"/>
        <v>2400105.468507995</v>
      </c>
      <c r="I64" s="18">
        <f t="shared" si="23"/>
        <v>2694855.26288617</v>
      </c>
      <c r="J64" s="18">
        <f t="shared" si="23"/>
        <v>2989605.0572643448</v>
      </c>
      <c r="K64" s="18">
        <f t="shared" si="23"/>
        <v>3326461.965125116</v>
      </c>
      <c r="L64" s="18">
        <f t="shared" si="23"/>
        <v>3705425.9864684837</v>
      </c>
      <c r="M64" s="18">
        <f t="shared" si="23"/>
        <v>4126497.1212944477</v>
      </c>
      <c r="N64" s="18">
        <f t="shared" si="23"/>
        <v>4589675.369603008</v>
      </c>
      <c r="O64" s="18">
        <f t="shared" si="23"/>
        <v>5600246.093185321</v>
      </c>
      <c r="P64" s="18">
        <f t="shared" si="23"/>
        <v>6189745.681941671</v>
      </c>
      <c r="Q64" s="18">
        <f t="shared" si="23"/>
        <v>6779245.270698021</v>
      </c>
      <c r="R64" s="18">
        <f t="shared" si="23"/>
        <v>7495066.19990216</v>
      </c>
      <c r="S64" s="18">
        <f t="shared" si="23"/>
        <v>8210887.129106299</v>
      </c>
      <c r="T64" s="18">
        <f t="shared" si="23"/>
        <v>9053029.398758227</v>
      </c>
      <c r="U64" s="18">
        <f t="shared" si="23"/>
        <v>9937278.78189275</v>
      </c>
      <c r="V64" s="18">
        <f t="shared" si="23"/>
        <v>10947849.505475065</v>
      </c>
      <c r="W64" s="18">
        <f t="shared" si="23"/>
        <v>12042634.456022572</v>
      </c>
      <c r="X64" s="18">
        <f t="shared" si="23"/>
        <v>13221633.633535272</v>
      </c>
      <c r="Y64" s="18">
        <f t="shared" si="23"/>
        <v>14526954.15149576</v>
      </c>
      <c r="Z64" s="18">
        <f t="shared" si="23"/>
        <v>16000703.123386635</v>
      </c>
      <c r="AA64" s="18">
        <f t="shared" si="23"/>
        <v>17600773.435725298</v>
      </c>
      <c r="AB64" s="18">
        <f t="shared" si="23"/>
        <v>19369272.201994345</v>
      </c>
      <c r="AC64" s="18">
        <f t="shared" si="23"/>
        <v>21306199.42219378</v>
      </c>
      <c r="AD64" s="18">
        <f t="shared" si="23"/>
        <v>23411555.096323602</v>
      </c>
      <c r="AE64" s="18">
        <f t="shared" si="23"/>
        <v>25769553.451349</v>
      </c>
      <c r="AF64" s="18">
        <f t="shared" si="23"/>
        <v>28338087.37378738</v>
      </c>
      <c r="AG64" s="18">
        <f t="shared" si="23"/>
        <v>31159263.97712134</v>
      </c>
      <c r="AH64" s="18">
        <f t="shared" si="23"/>
        <v>34275190.37483347</v>
      </c>
      <c r="AI64" s="18">
        <f t="shared" si="23"/>
        <v>37685866.56692378</v>
      </c>
      <c r="AJ64" s="18">
        <f t="shared" si="23"/>
        <v>41475506.78035746</v>
      </c>
      <c r="AK64" s="18">
        <f t="shared" si="23"/>
        <v>45602003.901651904</v>
      </c>
    </row>
    <row r="65" spans="3:37" ht="12.75">
      <c r="C65" s="3" t="str">
        <f>CONCATENATE("ICC Locomotive Inspection Charges @ ",E19)</f>
        <v>ICC Locomotive Inspection Charges @ 0.027</v>
      </c>
      <c r="D65" s="27">
        <v>590</v>
      </c>
      <c r="E65" s="22">
        <v>590</v>
      </c>
      <c r="F65" s="22">
        <f aca="true" t="shared" si="24" ref="F65:I66">F43*$E$65*F$24</f>
        <v>33630</v>
      </c>
      <c r="G65" s="22">
        <f t="shared" si="24"/>
        <v>35931</v>
      </c>
      <c r="H65" s="22">
        <f t="shared" si="24"/>
        <v>39028.5</v>
      </c>
      <c r="I65" s="22">
        <f t="shared" si="24"/>
        <v>42345.92250000001</v>
      </c>
      <c r="J65" s="22">
        <f aca="true" t="shared" si="25" ref="J65:AK65">J43*$E$65*J$24</f>
        <v>45180.367312500006</v>
      </c>
      <c r="K65" s="22">
        <f t="shared" si="25"/>
        <v>48945.39792187501</v>
      </c>
      <c r="L65" s="22">
        <f t="shared" si="25"/>
        <v>52973.98067390627</v>
      </c>
      <c r="M65" s="22">
        <f t="shared" si="25"/>
        <v>56452.86895696877</v>
      </c>
      <c r="N65" s="22">
        <f t="shared" si="25"/>
        <v>61018.9098284883</v>
      </c>
      <c r="O65" s="22">
        <f t="shared" si="25"/>
        <v>65900.42261476738</v>
      </c>
      <c r="P65" s="22">
        <f t="shared" si="25"/>
        <v>71117.53940510312</v>
      </c>
      <c r="Q65" s="22">
        <f t="shared" si="25"/>
        <v>76691.61681793553</v>
      </c>
      <c r="R65" s="22">
        <f t="shared" si="25"/>
        <v>82645.30812353842</v>
      </c>
      <c r="S65" s="22">
        <f t="shared" si="25"/>
        <v>89002.63951765676</v>
      </c>
      <c r="T65" s="22">
        <f t="shared" si="25"/>
        <v>95789.09078087809</v>
      </c>
      <c r="U65" s="22">
        <f t="shared" si="25"/>
        <v>104258.24819748012</v>
      </c>
      <c r="V65" s="22">
        <f t="shared" si="25"/>
        <v>112046.95262164483</v>
      </c>
      <c r="W65" s="22">
        <f t="shared" si="25"/>
        <v>120353.88186773227</v>
      </c>
      <c r="X65" s="22">
        <f t="shared" si="25"/>
        <v>130631.2920047521</v>
      </c>
      <c r="Y65" s="22">
        <f t="shared" si="25"/>
        <v>140144.65783553297</v>
      </c>
      <c r="Z65" s="22">
        <f t="shared" si="25"/>
        <v>151848.22766541524</v>
      </c>
      <c r="AA65" s="22">
        <f t="shared" si="25"/>
        <v>162728.0749053599</v>
      </c>
      <c r="AB65" s="22">
        <f t="shared" si="25"/>
        <v>176042.19012488937</v>
      </c>
      <c r="AC65" s="22">
        <f t="shared" si="25"/>
        <v>190280.89667910835</v>
      </c>
      <c r="AD65" s="22">
        <f t="shared" si="25"/>
        <v>203600.55944664596</v>
      </c>
      <c r="AE65" s="22">
        <f t="shared" si="25"/>
        <v>219774.43566437016</v>
      </c>
      <c r="AF65" s="22">
        <f t="shared" si="25"/>
        <v>237056.6981052502</v>
      </c>
      <c r="AG65" s="22">
        <f t="shared" si="25"/>
        <v>255517.7507010573</v>
      </c>
      <c r="AH65" s="22">
        <f t="shared" si="25"/>
        <v>275232.26681118197</v>
      </c>
      <c r="AI65" s="22">
        <f t="shared" si="25"/>
        <v>298707.9601568416</v>
      </c>
      <c r="AJ65" s="22">
        <f t="shared" si="25"/>
        <v>321293.1961687004</v>
      </c>
      <c r="AK65" s="22">
        <f t="shared" si="25"/>
        <v>345390.1858813529</v>
      </c>
    </row>
    <row r="66" spans="3:37" ht="12.75">
      <c r="C66" s="3" t="str">
        <f>CONCATENATE("ICC Locomotive Inspection Charges @ ",E20)</f>
        <v>ICC Locomotive Inspection Charges @ 0.1</v>
      </c>
      <c r="D66" s="27">
        <v>590</v>
      </c>
      <c r="E66" s="22">
        <v>590</v>
      </c>
      <c r="F66" s="22">
        <f t="shared" si="24"/>
        <v>33630</v>
      </c>
      <c r="G66" s="22">
        <f t="shared" si="24"/>
        <v>39028.5</v>
      </c>
      <c r="H66" s="22">
        <f t="shared" si="24"/>
        <v>44882.775</v>
      </c>
      <c r="I66" s="22">
        <f t="shared" si="24"/>
        <v>51907.905000000006</v>
      </c>
      <c r="J66" s="22">
        <f aca="true" t="shared" si="26" ref="J66:AK66">J44*$E$65*J$24</f>
        <v>59523.34106250001</v>
      </c>
      <c r="K66" s="22">
        <f t="shared" si="26"/>
        <v>68523.55709062502</v>
      </c>
      <c r="L66" s="22">
        <f t="shared" si="26"/>
        <v>79065.64279687502</v>
      </c>
      <c r="M66" s="22">
        <f t="shared" si="26"/>
        <v>91320.81743039066</v>
      </c>
      <c r="N66" s="22">
        <f t="shared" si="26"/>
        <v>105475.5441321012</v>
      </c>
      <c r="O66" s="22">
        <f t="shared" si="26"/>
        <v>121732.72510783417</v>
      </c>
      <c r="P66" s="22">
        <f t="shared" si="26"/>
        <v>141274.03098040755</v>
      </c>
      <c r="Q66" s="22">
        <f t="shared" si="26"/>
        <v>162465.1356274687</v>
      </c>
      <c r="R66" s="22">
        <f t="shared" si="26"/>
        <v>188600.83135884407</v>
      </c>
      <c r="S66" s="22">
        <f t="shared" si="26"/>
        <v>216943.93382428834</v>
      </c>
      <c r="T66" s="22">
        <f t="shared" si="26"/>
        <v>251154.32338888766</v>
      </c>
      <c r="U66" s="22">
        <f t="shared" si="26"/>
        <v>289469.9597012389</v>
      </c>
      <c r="V66" s="22">
        <f t="shared" si="26"/>
        <v>334852.96185778914</v>
      </c>
      <c r="W66" s="22">
        <f t="shared" si="26"/>
        <v>386755.1709457464</v>
      </c>
      <c r="X66" s="22">
        <f t="shared" si="26"/>
        <v>445850.27923361043</v>
      </c>
      <c r="Y66" s="22">
        <f t="shared" si="26"/>
        <v>514360.7122687114</v>
      </c>
      <c r="Z66" s="22">
        <f t="shared" si="26"/>
        <v>594869.3454933793</v>
      </c>
      <c r="AA66" s="22">
        <f t="shared" si="26"/>
        <v>687074.094044853</v>
      </c>
      <c r="AB66" s="22">
        <f t="shared" si="26"/>
        <v>793915.759386756</v>
      </c>
      <c r="AC66" s="22">
        <f t="shared" si="26"/>
        <v>916972.7020917032</v>
      </c>
      <c r="AD66" s="22">
        <f t="shared" si="26"/>
        <v>1057961.7855358424</v>
      </c>
      <c r="AE66" s="22">
        <f t="shared" si="26"/>
        <v>1222745.0420599503</v>
      </c>
      <c r="AF66" s="22">
        <f t="shared" si="26"/>
        <v>1411850.9542020652</v>
      </c>
      <c r="AG66" s="22">
        <f t="shared" si="26"/>
        <v>1630027.0303343309</v>
      </c>
      <c r="AH66" s="22">
        <f t="shared" si="26"/>
        <v>1882681.220036152</v>
      </c>
      <c r="AI66" s="22">
        <f t="shared" si="26"/>
        <v>2173525.401141246</v>
      </c>
      <c r="AJ66" s="22">
        <f t="shared" si="26"/>
        <v>2511696.8113188087</v>
      </c>
      <c r="AK66" s="22">
        <f t="shared" si="26"/>
        <v>2899671.095422521</v>
      </c>
    </row>
    <row r="67" spans="3:37" ht="12.75">
      <c r="C67" s="7" t="str">
        <f>CONCATENATE("Substation and Supply Improvements @ ",E19)</f>
        <v>Substation and Supply Improvements @ 0.027</v>
      </c>
      <c r="D67" s="27">
        <v>11000000</v>
      </c>
      <c r="E67" s="26">
        <f>'Upgrade Detail'!E34</f>
        <v>11773000</v>
      </c>
      <c r="F67" s="18">
        <f>IF(F19-$D$18&gt;=1500000,IF(F19-$D$18&gt;=3000000,'Upgrade Detail'!$J$28*F24,'Upgrade Detail'!$G$28*F24),0)</f>
        <v>0</v>
      </c>
      <c r="G67" s="18">
        <f>(IF(G19-$D$18&gt;=1500000,IF(G19-$D$18&gt;=3000000,'Upgrade Detail'!$J$28*G24,'Upgrade Detail'!$G$28*G24),0))</f>
        <v>0</v>
      </c>
      <c r="H67" s="18">
        <f>(IF(H19-$D$18&gt;=1500000,IF(H19-$D$18&gt;=3000000,'Upgrade Detail'!$J$28*H24,'Upgrade Detail'!$G$28*H24),0))</f>
        <v>0</v>
      </c>
      <c r="I67" s="18">
        <f>(IF(I19-$D$18&gt;=1500000,IF(I19-$D$18&gt;=3000000,'Upgrade Detail'!$J$28*I24,'Upgrade Detail'!$G$28*I24),0))</f>
        <v>0</v>
      </c>
      <c r="J67" s="18">
        <f>(IF(J19-$D$18&gt;=1500000,IF(J19-$D$18&gt;=3000000,'Upgrade Detail'!$J$28*J24,'Upgrade Detail'!$G$28*J24),0))</f>
        <v>0</v>
      </c>
      <c r="K67" s="18">
        <f>(IF(K19-$D$18&gt;=1500000,IF(K19-$D$18&gt;=3000000,'Upgrade Detail'!$J$28*K24,'Upgrade Detail'!$G$28*K24),0))</f>
        <v>0</v>
      </c>
      <c r="L67" s="18">
        <f>(IF(L19-$D$18&gt;=1500000,IF(L19-$D$18&gt;=3000000,'Upgrade Detail'!$J$28*L24,'Upgrade Detail'!$G$28*L24),0))</f>
        <v>2489897.7002812508</v>
      </c>
      <c r="M67" s="18">
        <f>IF(M19-$D$18&gt;=3000000,'Upgrade Detail'!$G$28*M24,0)</f>
        <v>0</v>
      </c>
      <c r="N67" s="18">
        <f>IF(N19-$D$18&gt;=3000000,'Upgrade Detail'!$G$28*N24,0)</f>
        <v>0</v>
      </c>
      <c r="O67" s="18">
        <f>IF(O19-$D$18&gt;=3000000,'Upgrade Detail'!$G$28*O24,0)</f>
        <v>0</v>
      </c>
      <c r="P67" s="18">
        <f>IF(P19-$D$18&gt;=3000000,'Upgrade Detail'!$G$28*P24,0)</f>
        <v>0</v>
      </c>
      <c r="Q67" s="18">
        <f>IF(Q19-$D$18&gt;=3000000,'Upgrade Detail'!$G$28*Q24,0)</f>
        <v>0</v>
      </c>
      <c r="R67" s="18">
        <f>IF(R19-$D$18&gt;=3000000,'Upgrade Detail'!$J$28*R24,0)</f>
        <v>1652187.8199403596</v>
      </c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3:37" ht="12.75">
      <c r="C68" s="7" t="str">
        <f>CONCATENATE("Substation and Supply Improvements @ ",E20)</f>
        <v>Substation and Supply Improvements @ 0.1</v>
      </c>
      <c r="D68" s="27"/>
      <c r="E68" s="47">
        <f>E67</f>
        <v>11773000</v>
      </c>
      <c r="F68" s="18">
        <f>IF(F20-$D$18&gt;=1500000,IF(F20-$D$18&gt;=3000000,'Upgrade Detail'!$G$28*F24,'Upgrade Detail'!$J$28*F24),0)</f>
        <v>0</v>
      </c>
      <c r="G68" s="18">
        <f>IF(G20-$D$18&gt;=1500000,IF(G20-$D$18&gt;=3000000,'Upgrade Detail'!$G$28*G24,'Upgrade Detail'!$J$28*G24),0)</f>
        <v>0</v>
      </c>
      <c r="H68" s="18">
        <f>IF(H20-$D$18&gt;=1500000,IF(H20-$D$18&gt;=3000000,'Upgrade Detail'!$G$28*H24,'Upgrade Detail'!$J$28*H24),0)</f>
        <v>1014300</v>
      </c>
      <c r="I68" s="18">
        <f>IF(I20-$D$18&gt;=1500000,IF(I20-$D$18&gt;=3000000,'Upgrade Detail'!$G$28*I24,'Upgrade Detail'!$J$28*I24),0)</f>
        <v>1065015</v>
      </c>
      <c r="J68" s="18">
        <v>0</v>
      </c>
      <c r="K68" s="18">
        <f>IF(K20-$D$18&gt;=3000000,'Upgrade Detail'!$J$28*K24,0)</f>
        <v>1174179.0375000003</v>
      </c>
      <c r="L68" s="18">
        <f>IF(L20-$D$18&gt;=3000000,'Upgrade Detail'!$J$28*L24,0)</f>
        <v>1232887.9893750004</v>
      </c>
      <c r="M68" s="18">
        <f>IF(M20-$D$18&gt;=3000000,'Upgrade Detail'!$J$28*M24,0)</f>
        <v>1294532.3888437503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</row>
    <row r="69" spans="3:37" ht="12.75">
      <c r="C69" s="7" t="str">
        <f>CONCATENATE("NPV,Substation and Supply @",E19)</f>
        <v>NPV,Substation and Supply @0.027</v>
      </c>
      <c r="D69" s="27"/>
      <c r="E69" s="47">
        <f>NPV(E21,E67:AK67)</f>
        <v>11855305.425507614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</row>
    <row r="70" spans="3:37" ht="12.75">
      <c r="C70" s="7" t="str">
        <f>CONCATENATE("NPV,Substation and Supply @",E20)</f>
        <v>NPV,Substation and Supply @0.1</v>
      </c>
      <c r="D70" s="27"/>
      <c r="E70" s="47">
        <f>NPV(E21,E68:AK68)</f>
        <v>13256434.346770635</v>
      </c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</row>
    <row r="71" spans="3:37" ht="12.75">
      <c r="C71" s="3" t="s">
        <v>21</v>
      </c>
      <c r="D71" s="27">
        <v>1550000</v>
      </c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3:37" ht="12.75">
      <c r="C72" s="7" t="s">
        <v>51</v>
      </c>
      <c r="D72" s="27"/>
      <c r="E72" s="27">
        <f>-PMT($E$22,$E$27,$E$67,$E$67*0.1,1)</f>
        <v>986658.9997524272</v>
      </c>
      <c r="F72" s="31">
        <f>E72-PMT($E$22,$E$27,F67,F67*0.01,1)</f>
        <v>986658.9997524272</v>
      </c>
      <c r="G72" s="29">
        <f aca="true" t="shared" si="27" ref="G72:AK72">F72-PMT($E$22,$E$27,G67,G67*0.01,1)</f>
        <v>986658.9997524272</v>
      </c>
      <c r="H72" s="29">
        <f>G72-PMT($E$22,$E$27,H67,H67*0.01,1)</f>
        <v>986658.9997524272</v>
      </c>
      <c r="I72" s="29">
        <f t="shared" si="27"/>
        <v>986658.9997524272</v>
      </c>
      <c r="J72" s="29">
        <f t="shared" si="27"/>
        <v>986658.9997524272</v>
      </c>
      <c r="K72" s="29">
        <f t="shared" si="27"/>
        <v>986658.9997524272</v>
      </c>
      <c r="L72" s="29">
        <f t="shared" si="27"/>
        <v>1195077.4555349143</v>
      </c>
      <c r="M72" s="29">
        <f t="shared" si="27"/>
        <v>1195077.4555349143</v>
      </c>
      <c r="N72" s="29">
        <f t="shared" si="27"/>
        <v>1195077.4555349143</v>
      </c>
      <c r="O72" s="29">
        <f t="shared" si="27"/>
        <v>1195077.4555349143</v>
      </c>
      <c r="P72" s="29">
        <f t="shared" si="27"/>
        <v>1195077.4555349143</v>
      </c>
      <c r="Q72" s="29">
        <f t="shared" si="27"/>
        <v>1195077.4555349143</v>
      </c>
      <c r="R72" s="29">
        <f t="shared" si="27"/>
        <v>1333374.8779774937</v>
      </c>
      <c r="S72" s="29">
        <f t="shared" si="27"/>
        <v>1333374.8779774937</v>
      </c>
      <c r="T72" s="29">
        <f t="shared" si="27"/>
        <v>1333374.8779774937</v>
      </c>
      <c r="U72" s="29">
        <f t="shared" si="27"/>
        <v>1333374.8779774937</v>
      </c>
      <c r="V72" s="29">
        <f t="shared" si="27"/>
        <v>1333374.8779774937</v>
      </c>
      <c r="W72" s="29">
        <f t="shared" si="27"/>
        <v>1333374.8779774937</v>
      </c>
      <c r="X72" s="29">
        <f t="shared" si="27"/>
        <v>1333374.8779774937</v>
      </c>
      <c r="Y72" s="29">
        <f t="shared" si="27"/>
        <v>1333374.8779774937</v>
      </c>
      <c r="Z72" s="29">
        <f t="shared" si="27"/>
        <v>1333374.8779774937</v>
      </c>
      <c r="AA72" s="29">
        <f t="shared" si="27"/>
        <v>1333374.8779774937</v>
      </c>
      <c r="AB72" s="29">
        <f t="shared" si="27"/>
        <v>1333374.8779774937</v>
      </c>
      <c r="AC72" s="29">
        <f t="shared" si="27"/>
        <v>1333374.8779774937</v>
      </c>
      <c r="AD72" s="29">
        <f t="shared" si="27"/>
        <v>1333374.8779774937</v>
      </c>
      <c r="AE72" s="29">
        <f t="shared" si="27"/>
        <v>1333374.8779774937</v>
      </c>
      <c r="AF72" s="29">
        <f t="shared" si="27"/>
        <v>1333374.8779774937</v>
      </c>
      <c r="AG72" s="29">
        <f t="shared" si="27"/>
        <v>1333374.8779774937</v>
      </c>
      <c r="AH72" s="29">
        <f t="shared" si="27"/>
        <v>1333374.8779774937</v>
      </c>
      <c r="AI72" s="29">
        <f t="shared" si="27"/>
        <v>1333374.8779774937</v>
      </c>
      <c r="AJ72" s="29">
        <f t="shared" si="27"/>
        <v>1333374.8779774937</v>
      </c>
      <c r="AK72" s="29">
        <f t="shared" si="27"/>
        <v>1333374.8779774937</v>
      </c>
    </row>
    <row r="73" spans="3:37" ht="12.75">
      <c r="C73" s="7" t="str">
        <f>CONCATENATE("Maint. Cost/MGTM @ ",E19)</f>
        <v>Maint. Cost/MGTM @ 0.027</v>
      </c>
      <c r="D73" s="28">
        <v>0.0112</v>
      </c>
      <c r="E73" s="28">
        <v>0.0112</v>
      </c>
      <c r="F73" s="31">
        <f>$E$73*F$24*F19</f>
        <v>82117.44340799999</v>
      </c>
      <c r="G73" s="29">
        <f aca="true" t="shared" si="28" ref="F73:I74">$E$73*G$24*G19</f>
        <v>88551.34509901679</v>
      </c>
      <c r="H73" s="29">
        <f t="shared" si="28"/>
        <v>95489.34298752475</v>
      </c>
      <c r="I73" s="29">
        <f t="shared" si="28"/>
        <v>102970.93301059735</v>
      </c>
      <c r="J73" s="29">
        <f aca="true" t="shared" si="29" ref="J73:AK73">$E$73*J$24*J19</f>
        <v>111038.70561197767</v>
      </c>
      <c r="K73" s="29">
        <f t="shared" si="29"/>
        <v>119738.58819667612</v>
      </c>
      <c r="L73" s="29">
        <f t="shared" si="29"/>
        <v>129120.1065818857</v>
      </c>
      <c r="M73" s="29">
        <f t="shared" si="29"/>
        <v>139236.66693257642</v>
      </c>
      <c r="N73" s="29">
        <f t="shared" si="29"/>
        <v>150145.8597867438</v>
      </c>
      <c r="O73" s="29">
        <f t="shared" si="29"/>
        <v>161909.78790103516</v>
      </c>
      <c r="P73" s="29">
        <f t="shared" si="29"/>
        <v>174595.41978308125</v>
      </c>
      <c r="Q73" s="29">
        <f t="shared" si="29"/>
        <v>188274.9709230857</v>
      </c>
      <c r="R73" s="29">
        <f t="shared" si="29"/>
        <v>203026.31489490945</v>
      </c>
      <c r="S73" s="29">
        <f t="shared" si="29"/>
        <v>218933.42666692563</v>
      </c>
      <c r="T73" s="29">
        <f t="shared" si="29"/>
        <v>236086.86064627924</v>
      </c>
      <c r="U73" s="29">
        <f t="shared" si="29"/>
        <v>254584.2661779152</v>
      </c>
      <c r="V73" s="29">
        <f t="shared" si="29"/>
        <v>274530.94343295495</v>
      </c>
      <c r="W73" s="29">
        <f t="shared" si="29"/>
        <v>296040.4428509269</v>
      </c>
      <c r="X73" s="29">
        <f t="shared" si="29"/>
        <v>319235.21154829697</v>
      </c>
      <c r="Y73" s="29">
        <f t="shared" si="29"/>
        <v>344247.2903731061</v>
      </c>
      <c r="Z73" s="29">
        <f t="shared" si="29"/>
        <v>371219.06557383883</v>
      </c>
      <c r="AA73" s="29">
        <f t="shared" si="29"/>
        <v>400304.0793615492</v>
      </c>
      <c r="AB73" s="29">
        <f t="shared" si="29"/>
        <v>431667.90397952654</v>
      </c>
      <c r="AC73" s="29">
        <f t="shared" si="29"/>
        <v>465489.08425632236</v>
      </c>
      <c r="AD73" s="29">
        <f t="shared" si="29"/>
        <v>501960.1540078052</v>
      </c>
      <c r="AE73" s="29">
        <f t="shared" si="29"/>
        <v>541288.7320743167</v>
      </c>
      <c r="AF73" s="29">
        <f t="shared" si="29"/>
        <v>583698.7042323395</v>
      </c>
      <c r="AG73" s="29">
        <f t="shared" si="29"/>
        <v>629431.4977089432</v>
      </c>
      <c r="AH73" s="29">
        <f t="shared" si="29"/>
        <v>678747.4555544389</v>
      </c>
      <c r="AI73" s="29">
        <f t="shared" si="29"/>
        <v>731927.3186971293</v>
      </c>
      <c r="AJ73" s="29">
        <f t="shared" si="29"/>
        <v>789273.8241170495</v>
      </c>
      <c r="AK73" s="29">
        <f t="shared" si="29"/>
        <v>851113.4282366203</v>
      </c>
    </row>
    <row r="74" spans="3:37" ht="12.75">
      <c r="C74" s="7" t="str">
        <f>CONCATENATE("Maint. Cost/MGTM @ ",E20)</f>
        <v>Maint. Cost/MGTM @ 0.1</v>
      </c>
      <c r="D74" s="28">
        <v>0.0112</v>
      </c>
      <c r="E74" s="28">
        <v>0.0112</v>
      </c>
      <c r="F74" s="32">
        <f t="shared" si="28"/>
        <v>82117.44340799999</v>
      </c>
      <c r="G74" s="29">
        <f t="shared" si="28"/>
        <v>94845.64713623999</v>
      </c>
      <c r="H74" s="29">
        <f t="shared" si="28"/>
        <v>109546.72244235719</v>
      </c>
      <c r="I74" s="29">
        <f t="shared" si="28"/>
        <v>126526.46442092257</v>
      </c>
      <c r="J74" s="29">
        <f aca="true" t="shared" si="30" ref="J74:AK74">$E$73*J$24*J20</f>
        <v>146138.0664061656</v>
      </c>
      <c r="K74" s="29">
        <f t="shared" si="30"/>
        <v>168789.46669912126</v>
      </c>
      <c r="L74" s="29">
        <f t="shared" si="30"/>
        <v>194951.83403748504</v>
      </c>
      <c r="M74" s="29">
        <f t="shared" si="30"/>
        <v>225169.36831329524</v>
      </c>
      <c r="N74" s="29">
        <f t="shared" si="30"/>
        <v>260070.620401856</v>
      </c>
      <c r="O74" s="29">
        <f t="shared" si="30"/>
        <v>300381.56656414364</v>
      </c>
      <c r="P74" s="29">
        <f t="shared" si="30"/>
        <v>346940.70938158594</v>
      </c>
      <c r="Q74" s="29">
        <f t="shared" si="30"/>
        <v>400716.51933573186</v>
      </c>
      <c r="R74" s="29">
        <f t="shared" si="30"/>
        <v>462827.5798327702</v>
      </c>
      <c r="S74" s="29">
        <f t="shared" si="30"/>
        <v>534565.8547068497</v>
      </c>
      <c r="T74" s="29">
        <f t="shared" si="30"/>
        <v>617423.5621864113</v>
      </c>
      <c r="U74" s="29">
        <f t="shared" si="30"/>
        <v>713124.2143253052</v>
      </c>
      <c r="V74" s="29">
        <f t="shared" si="30"/>
        <v>823658.4675457276</v>
      </c>
      <c r="W74" s="29">
        <f t="shared" si="30"/>
        <v>951325.5300153153</v>
      </c>
      <c r="X74" s="29">
        <f t="shared" si="30"/>
        <v>1098780.987167689</v>
      </c>
      <c r="Y74" s="29">
        <f t="shared" si="30"/>
        <v>1269092.0401786808</v>
      </c>
      <c r="Z74" s="29">
        <f t="shared" si="30"/>
        <v>1465801.3064063764</v>
      </c>
      <c r="AA74" s="29">
        <f t="shared" si="30"/>
        <v>1693000.5088993646</v>
      </c>
      <c r="AB74" s="29">
        <f t="shared" si="30"/>
        <v>1955415.5877787664</v>
      </c>
      <c r="AC74" s="29">
        <f t="shared" si="30"/>
        <v>2258505.003884475</v>
      </c>
      <c r="AD74" s="29">
        <f t="shared" si="30"/>
        <v>2608573.279486569</v>
      </c>
      <c r="AE74" s="29">
        <f t="shared" si="30"/>
        <v>3012902.1378069874</v>
      </c>
      <c r="AF74" s="29">
        <f t="shared" si="30"/>
        <v>3479901.9691670705</v>
      </c>
      <c r="AG74" s="29">
        <f t="shared" si="30"/>
        <v>4019286.7743879664</v>
      </c>
      <c r="AH74" s="29">
        <f t="shared" si="30"/>
        <v>4642276.224418101</v>
      </c>
      <c r="AI74" s="29">
        <f t="shared" si="30"/>
        <v>5361829.039202906</v>
      </c>
      <c r="AJ74" s="29">
        <f t="shared" si="30"/>
        <v>6192912.540279358</v>
      </c>
      <c r="AK74" s="29">
        <f t="shared" si="30"/>
        <v>7152813.984022659</v>
      </c>
    </row>
    <row r="75" spans="3:37" ht="12.75">
      <c r="C75" s="3" t="str">
        <f>CONCATENATE("Electric Locomotive Spare Parts Inventory @ ",E19)</f>
        <v>Electric Locomotive Spare Parts Inventory @ 0.027</v>
      </c>
      <c r="D75" s="27">
        <v>300</v>
      </c>
      <c r="E75" s="27">
        <v>300</v>
      </c>
      <c r="F75" s="27">
        <f>$E$75*F$24*F43</f>
        <v>17100</v>
      </c>
      <c r="G75" s="27">
        <f aca="true" t="shared" si="31" ref="G75:AK75">$E$75*G$24*G43</f>
        <v>18270</v>
      </c>
      <c r="H75" s="27">
        <f t="shared" si="31"/>
        <v>19845</v>
      </c>
      <c r="I75" s="27">
        <f t="shared" si="31"/>
        <v>21531.825</v>
      </c>
      <c r="J75" s="27">
        <f t="shared" si="31"/>
        <v>22973.068125000005</v>
      </c>
      <c r="K75" s="27">
        <f t="shared" si="31"/>
        <v>24887.490468750006</v>
      </c>
      <c r="L75" s="27">
        <f t="shared" si="31"/>
        <v>26935.922376562507</v>
      </c>
      <c r="M75" s="27">
        <f t="shared" si="31"/>
        <v>28704.848622187506</v>
      </c>
      <c r="N75" s="27">
        <f t="shared" si="31"/>
        <v>31026.564319570323</v>
      </c>
      <c r="O75" s="27">
        <f t="shared" si="31"/>
        <v>33508.68946513595</v>
      </c>
      <c r="P75" s="27">
        <f t="shared" si="31"/>
        <v>36161.46071445921</v>
      </c>
      <c r="Q75" s="27">
        <f t="shared" si="31"/>
        <v>38995.73736505196</v>
      </c>
      <c r="R75" s="27">
        <f t="shared" si="31"/>
        <v>42023.038028917836</v>
      </c>
      <c r="S75" s="27">
        <f t="shared" si="31"/>
        <v>45255.579415757675</v>
      </c>
      <c r="T75" s="27">
        <f t="shared" si="31"/>
        <v>48706.3173462092</v>
      </c>
      <c r="U75" s="27">
        <f t="shared" si="31"/>
        <v>53012.66857498989</v>
      </c>
      <c r="V75" s="27">
        <f t="shared" si="31"/>
        <v>56973.02675676856</v>
      </c>
      <c r="W75" s="27">
        <f t="shared" si="31"/>
        <v>61196.8890852876</v>
      </c>
      <c r="X75" s="27">
        <f t="shared" si="31"/>
        <v>66422.69084987395</v>
      </c>
      <c r="Y75" s="27">
        <f t="shared" si="31"/>
        <v>71259.99550959303</v>
      </c>
      <c r="Z75" s="27">
        <f t="shared" si="31"/>
        <v>77210.96321970267</v>
      </c>
      <c r="AA75" s="27">
        <f t="shared" si="31"/>
        <v>82743.08893492878</v>
      </c>
      <c r="AB75" s="27">
        <f t="shared" si="31"/>
        <v>89512.97802960477</v>
      </c>
      <c r="AC75" s="27">
        <f t="shared" si="31"/>
        <v>96752.99831141104</v>
      </c>
      <c r="AD75" s="27">
        <f t="shared" si="31"/>
        <v>103525.70819320981</v>
      </c>
      <c r="AE75" s="27">
        <f t="shared" si="31"/>
        <v>111749.71304967975</v>
      </c>
      <c r="AF75" s="27">
        <f t="shared" si="31"/>
        <v>120537.30412131367</v>
      </c>
      <c r="AG75" s="27">
        <f t="shared" si="31"/>
        <v>129924.28001748674</v>
      </c>
      <c r="AH75" s="27">
        <f t="shared" si="31"/>
        <v>139948.61024297387</v>
      </c>
      <c r="AI75" s="27">
        <f t="shared" si="31"/>
        <v>151885.40346958046</v>
      </c>
      <c r="AJ75" s="27">
        <f t="shared" si="31"/>
        <v>163369.4217806951</v>
      </c>
      <c r="AK75" s="27">
        <f t="shared" si="31"/>
        <v>175622.12841424724</v>
      </c>
    </row>
    <row r="76" spans="3:37" ht="12.75">
      <c r="C76" s="3" t="str">
        <f>CONCATENATE("Electric Locomotive Spare Parts Inventory @ ",E20)</f>
        <v>Electric Locomotive Spare Parts Inventory @ 0.1</v>
      </c>
      <c r="D76" s="27">
        <v>300</v>
      </c>
      <c r="E76" s="27">
        <v>300</v>
      </c>
      <c r="F76" s="27">
        <f>$E$75*F$24*F44</f>
        <v>17100</v>
      </c>
      <c r="G76" s="27">
        <f aca="true" t="shared" si="32" ref="G76:AK76">$E$75*G$24*G44</f>
        <v>19845</v>
      </c>
      <c r="H76" s="27">
        <f t="shared" si="32"/>
        <v>22821.75</v>
      </c>
      <c r="I76" s="27">
        <f t="shared" si="32"/>
        <v>26393.850000000002</v>
      </c>
      <c r="J76" s="27">
        <f t="shared" si="32"/>
        <v>30266.105625000007</v>
      </c>
      <c r="K76" s="27">
        <f t="shared" si="32"/>
        <v>34842.48665625001</v>
      </c>
      <c r="L76" s="27">
        <f t="shared" si="32"/>
        <v>40202.86921875001</v>
      </c>
      <c r="M76" s="27">
        <f t="shared" si="32"/>
        <v>46434.313947656265</v>
      </c>
      <c r="N76" s="27">
        <f t="shared" si="32"/>
        <v>53631.63260954299</v>
      </c>
      <c r="O76" s="27">
        <f t="shared" si="32"/>
        <v>61897.9958175428</v>
      </c>
      <c r="P76" s="27">
        <f t="shared" si="32"/>
        <v>71834.25304088519</v>
      </c>
      <c r="Q76" s="27">
        <f t="shared" si="32"/>
        <v>82609.39099701797</v>
      </c>
      <c r="R76" s="27">
        <f t="shared" si="32"/>
        <v>95898.72780958173</v>
      </c>
      <c r="S76" s="27">
        <f t="shared" si="32"/>
        <v>110310.47482590933</v>
      </c>
      <c r="T76" s="27">
        <f t="shared" si="32"/>
        <v>127705.5881638412</v>
      </c>
      <c r="U76" s="27">
        <f t="shared" si="32"/>
        <v>147188.11510232487</v>
      </c>
      <c r="V76" s="27">
        <f t="shared" si="32"/>
        <v>170264.2178937911</v>
      </c>
      <c r="W76" s="27">
        <f t="shared" si="32"/>
        <v>196655.1716673287</v>
      </c>
      <c r="X76" s="27">
        <f t="shared" si="32"/>
        <v>226703.53181370025</v>
      </c>
      <c r="Y76" s="27">
        <f t="shared" si="32"/>
        <v>261539.34522137867</v>
      </c>
      <c r="Z76" s="27">
        <f t="shared" si="32"/>
        <v>302475.938386464</v>
      </c>
      <c r="AA76" s="27">
        <f t="shared" si="32"/>
        <v>349359.70883636596</v>
      </c>
      <c r="AB76" s="27">
        <f t="shared" si="32"/>
        <v>403685.97934919794</v>
      </c>
      <c r="AC76" s="27">
        <f t="shared" si="32"/>
        <v>466257.3061483237</v>
      </c>
      <c r="AD76" s="27">
        <f t="shared" si="32"/>
        <v>537946.6706114453</v>
      </c>
      <c r="AE76" s="27">
        <f t="shared" si="32"/>
        <v>621734.7671491273</v>
      </c>
      <c r="AF76" s="27">
        <f t="shared" si="32"/>
        <v>717890.3156959654</v>
      </c>
      <c r="AG76" s="27">
        <f t="shared" si="32"/>
        <v>828827.3035598292</v>
      </c>
      <c r="AH76" s="27">
        <f t="shared" si="32"/>
        <v>957295.5356116028</v>
      </c>
      <c r="AI76" s="27">
        <f t="shared" si="32"/>
        <v>1105182.4073599554</v>
      </c>
      <c r="AJ76" s="27">
        <f t="shared" si="32"/>
        <v>1277133.9718570213</v>
      </c>
      <c r="AK76" s="27">
        <f t="shared" si="32"/>
        <v>1474409.0315707733</v>
      </c>
    </row>
    <row r="77" spans="3:37" ht="12.75">
      <c r="C77" s="7" t="s">
        <v>146</v>
      </c>
      <c r="D77" s="27"/>
      <c r="E77" s="27"/>
      <c r="F77" s="27">
        <v>230000</v>
      </c>
      <c r="G77" s="27">
        <v>230000</v>
      </c>
      <c r="H77" s="27">
        <v>230000</v>
      </c>
      <c r="I77" s="27">
        <v>230000</v>
      </c>
      <c r="J77" s="27">
        <v>230000</v>
      </c>
      <c r="K77" s="27">
        <v>230000</v>
      </c>
      <c r="L77" s="27">
        <v>230000</v>
      </c>
      <c r="M77" s="27">
        <v>230000</v>
      </c>
      <c r="N77" s="27">
        <v>230000</v>
      </c>
      <c r="O77" s="27">
        <v>230000</v>
      </c>
      <c r="P77" s="27">
        <v>230000</v>
      </c>
      <c r="Q77" s="27">
        <v>230000</v>
      </c>
      <c r="R77" s="27">
        <v>230000</v>
      </c>
      <c r="S77" s="27">
        <v>230000</v>
      </c>
      <c r="T77" s="27">
        <v>230000</v>
      </c>
      <c r="U77" s="27">
        <v>230000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3:37" ht="12.75">
      <c r="C78" s="3" t="s">
        <v>22</v>
      </c>
      <c r="D78" s="27">
        <v>1390000</v>
      </c>
      <c r="E78" s="27">
        <v>1390000</v>
      </c>
      <c r="F78" s="27">
        <f>$E$78*F24</f>
        <v>1390000</v>
      </c>
      <c r="G78" s="27">
        <f aca="true" t="shared" si="33" ref="G78:AK78">$E$78*G24</f>
        <v>1459500</v>
      </c>
      <c r="H78" s="27">
        <f t="shared" si="33"/>
        <v>1532475</v>
      </c>
      <c r="I78" s="27">
        <f t="shared" si="33"/>
        <v>1609098.7500000002</v>
      </c>
      <c r="J78" s="27">
        <f t="shared" si="33"/>
        <v>1689553.6875000002</v>
      </c>
      <c r="K78" s="27">
        <f t="shared" si="33"/>
        <v>1774031.3718750004</v>
      </c>
      <c r="L78" s="27">
        <f t="shared" si="33"/>
        <v>1862732.9404687507</v>
      </c>
      <c r="M78" s="27">
        <f t="shared" si="33"/>
        <v>1955869.5874921882</v>
      </c>
      <c r="N78" s="27">
        <f t="shared" si="33"/>
        <v>2053663.0668667976</v>
      </c>
      <c r="O78" s="27">
        <f t="shared" si="33"/>
        <v>2156346.220210138</v>
      </c>
      <c r="P78" s="27">
        <f t="shared" si="33"/>
        <v>2264163.5312206442</v>
      </c>
      <c r="Q78" s="27">
        <f t="shared" si="33"/>
        <v>2377371.7077816767</v>
      </c>
      <c r="R78" s="27">
        <f t="shared" si="33"/>
        <v>2496240.2931707604</v>
      </c>
      <c r="S78" s="27">
        <f t="shared" si="33"/>
        <v>2621052.3078292985</v>
      </c>
      <c r="T78" s="27">
        <f t="shared" si="33"/>
        <v>2752104.9232207634</v>
      </c>
      <c r="U78" s="27">
        <f t="shared" si="33"/>
        <v>2889710.169381802</v>
      </c>
      <c r="V78" s="27">
        <f t="shared" si="33"/>
        <v>3034195.6778508923</v>
      </c>
      <c r="W78" s="27">
        <f t="shared" si="33"/>
        <v>3185905.4617434368</v>
      </c>
      <c r="X78" s="27">
        <f t="shared" si="33"/>
        <v>3345200.7348306086</v>
      </c>
      <c r="Y78" s="27">
        <f t="shared" si="33"/>
        <v>3512460.7715721386</v>
      </c>
      <c r="Z78" s="27">
        <f t="shared" si="33"/>
        <v>3688083.810150746</v>
      </c>
      <c r="AA78" s="27">
        <f t="shared" si="33"/>
        <v>3872488.000658283</v>
      </c>
      <c r="AB78" s="27">
        <f t="shared" si="33"/>
        <v>4066112.400691197</v>
      </c>
      <c r="AC78" s="27">
        <f t="shared" si="33"/>
        <v>4269418.020725757</v>
      </c>
      <c r="AD78" s="27">
        <f t="shared" si="33"/>
        <v>4482888.921762045</v>
      </c>
      <c r="AE78" s="27">
        <f t="shared" si="33"/>
        <v>4707033.367850147</v>
      </c>
      <c r="AF78" s="27">
        <f t="shared" si="33"/>
        <v>4942385.036242655</v>
      </c>
      <c r="AG78" s="27">
        <f t="shared" si="33"/>
        <v>5189504.288054787</v>
      </c>
      <c r="AH78" s="27">
        <f t="shared" si="33"/>
        <v>5448979.5024575265</v>
      </c>
      <c r="AI78" s="27">
        <f t="shared" si="33"/>
        <v>5721428.477580403</v>
      </c>
      <c r="AJ78" s="27">
        <f t="shared" si="33"/>
        <v>6007499.901459423</v>
      </c>
      <c r="AK78" s="27">
        <f t="shared" si="33"/>
        <v>6307874.896532394</v>
      </c>
    </row>
    <row r="79" spans="3:37" ht="12.75">
      <c r="C79" s="3" t="s">
        <v>23</v>
      </c>
      <c r="D79" s="27">
        <v>1000000</v>
      </c>
      <c r="E79" s="27">
        <v>1000000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3:37" ht="12.75">
      <c r="C80" s="3" t="s">
        <v>24</v>
      </c>
      <c r="D80" s="27">
        <v>3540000</v>
      </c>
      <c r="E80" s="25">
        <v>3540000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3:37" ht="12.75">
      <c r="C81" s="3" t="s">
        <v>25</v>
      </c>
      <c r="D81" s="30"/>
      <c r="E81" s="30">
        <v>56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3:37" ht="12.75">
      <c r="C82" s="3" t="s">
        <v>26</v>
      </c>
      <c r="D82" s="21"/>
      <c r="E82" s="20">
        <v>0.2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3:37" ht="12.75">
      <c r="C83" s="3" t="s">
        <v>27</v>
      </c>
      <c r="D83" s="27"/>
      <c r="E83" s="27">
        <f>E113*E81-(E113*E81*E82)</f>
        <v>11540480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3:37" ht="12.75">
      <c r="C84" s="7" t="s">
        <v>85</v>
      </c>
      <c r="D84" s="18">
        <f>D58+$D$67+$D$79-$D$80-$D$83</f>
        <v>25776000</v>
      </c>
      <c r="E84" s="18">
        <f>E58+$E$67+$E$79-$E$80-$E$83</f>
        <v>18284520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3:37" ht="12.75">
      <c r="C85" s="7" t="str">
        <f>CONCATENATE("Total Capital Cost 30 years @ ",E19)</f>
        <v>Total Capital Cost 30 years @ 0.027</v>
      </c>
      <c r="D85" s="18"/>
      <c r="E85" s="18">
        <f>E60+E69+E79-E80-E83</f>
        <v>23781751.624938175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3:37" ht="12.75">
      <c r="C86" s="7" t="str">
        <f>CONCATENATE("Total Capital Cost 30 years @ ",E20)</f>
        <v>Total Capital Cost 30 years @ 0.1</v>
      </c>
      <c r="D86" s="18">
        <f>D59+$D$67+$D$79-$D$80-$D$83</f>
        <v>25776000</v>
      </c>
      <c r="E86" s="49">
        <f>E61+E70+E79-E80-E83</f>
        <v>64551872.28462897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3:37" ht="12.75">
      <c r="C87" s="3" t="str">
        <f>CONCATENATE("Total Operating Cost @ ",E19)</f>
        <v>Total Operating Cost @ 0.027</v>
      </c>
      <c r="E87" s="18">
        <f>SUM(F87:AK87)</f>
        <v>411038948.5462625</v>
      </c>
      <c r="F87" s="18">
        <f>F41+F63+F65+F$72+F73+F75+F$78+F25</f>
        <v>6634754.9873772655</v>
      </c>
      <c r="G87" s="18">
        <f>G41+G63+G65+G$72+G73+G75+G$78+G25</f>
        <v>6840893.7733165035</v>
      </c>
      <c r="H87" s="18">
        <f aca="true" t="shared" si="34" ref="H87:AK87">H41+H63+H65+H$72+H73+H75+H$78+H25</f>
        <v>7097549.243827264</v>
      </c>
      <c r="I87" s="18">
        <f t="shared" si="34"/>
        <v>7362081.869515479</v>
      </c>
      <c r="J87" s="18">
        <f t="shared" si="34"/>
        <v>7591678.160627688</v>
      </c>
      <c r="K87" s="18">
        <f t="shared" si="34"/>
        <v>7873056.059249015</v>
      </c>
      <c r="L87" s="18">
        <f t="shared" si="34"/>
        <v>8371910.468426374</v>
      </c>
      <c r="M87" s="18">
        <f t="shared" si="34"/>
        <v>8628479.703702565</v>
      </c>
      <c r="N87" s="18">
        <f t="shared" si="34"/>
        <v>8938295.049810288</v>
      </c>
      <c r="O87" s="18">
        <f t="shared" si="34"/>
        <v>9763821.588004319</v>
      </c>
      <c r="P87" s="18">
        <f t="shared" si="34"/>
        <v>10094992.428181736</v>
      </c>
      <c r="Q87" s="18">
        <f t="shared" si="34"/>
        <v>10437622.385761786</v>
      </c>
      <c r="R87" s="18">
        <f t="shared" si="34"/>
        <v>10930565.336118033</v>
      </c>
      <c r="S87" s="18">
        <f t="shared" si="34"/>
        <v>11297811.344689</v>
      </c>
      <c r="T87" s="18">
        <f t="shared" si="34"/>
        <v>11678272.743466979</v>
      </c>
      <c r="U87" s="18">
        <f t="shared" si="34"/>
        <v>12116553.431485174</v>
      </c>
      <c r="V87" s="18">
        <f t="shared" si="34"/>
        <v>12525511.096322436</v>
      </c>
      <c r="W87" s="18">
        <f t="shared" si="34"/>
        <v>12949730.285303544</v>
      </c>
      <c r="X87" s="18">
        <f t="shared" si="34"/>
        <v>13434212.420235436</v>
      </c>
      <c r="Y87" s="18">
        <f t="shared" si="34"/>
        <v>13891358.171025952</v>
      </c>
      <c r="Z87" s="18">
        <f t="shared" si="34"/>
        <v>14410616.267579423</v>
      </c>
      <c r="AA87" s="18">
        <f t="shared" si="34"/>
        <v>14904044.493537068</v>
      </c>
      <c r="AB87" s="18">
        <f t="shared" si="34"/>
        <v>15461632.698806582</v>
      </c>
      <c r="AC87" s="18">
        <f t="shared" si="34"/>
        <v>16039902.44284743</v>
      </c>
      <c r="AD87" s="18">
        <f t="shared" si="34"/>
        <v>16594918.983536746</v>
      </c>
      <c r="AE87" s="18">
        <f t="shared" si="34"/>
        <v>17217591.98683098</v>
      </c>
      <c r="AF87" s="18">
        <f t="shared" si="34"/>
        <v>17864237.330127776</v>
      </c>
      <c r="AG87" s="18">
        <f t="shared" si="34"/>
        <v>18536073.68594322</v>
      </c>
      <c r="AH87" s="18">
        <f t="shared" si="34"/>
        <v>19234385.284283187</v>
      </c>
      <c r="AI87" s="18">
        <f t="shared" si="34"/>
        <v>20006296.132569615</v>
      </c>
      <c r="AJ87" s="18">
        <f t="shared" si="34"/>
        <v>20761875.260263886</v>
      </c>
      <c r="AK87" s="18">
        <f t="shared" si="34"/>
        <v>21548223.433489755</v>
      </c>
    </row>
    <row r="88" spans="3:37" ht="12.75">
      <c r="C88" s="3" t="str">
        <f>CONCATENATE("Total Operating Cost @ ",E20)</f>
        <v>Total Operating Cost @ 0.1</v>
      </c>
      <c r="E88" s="18">
        <f>SUM(F88:AK88)</f>
        <v>1245735604.68084</v>
      </c>
      <c r="F88" s="18">
        <f>F42+F64+F66+F$72+F74+F76+F$78+F25</f>
        <v>6634754.9873772655</v>
      </c>
      <c r="G88" s="18">
        <f>G42+G64+G66+G$72+G74+G76+G$78+G25</f>
        <v>7218165.398563584</v>
      </c>
      <c r="H88" s="18">
        <f aca="true" t="shared" si="35" ref="H88:AK88">H42+H64+H66+H$72+H74+H76+H$78+H25</f>
        <v>7834036.088776216</v>
      </c>
      <c r="I88" s="18">
        <f t="shared" si="35"/>
        <v>8528936.504719108</v>
      </c>
      <c r="J88" s="18">
        <f t="shared" si="35"/>
        <v>9263644.98686899</v>
      </c>
      <c r="K88" s="18">
        <f t="shared" si="35"/>
        <v>10085649.251805231</v>
      </c>
      <c r="L88" s="18">
        <f t="shared" si="35"/>
        <v>11208256.37471375</v>
      </c>
      <c r="M88" s="18">
        <f t="shared" si="35"/>
        <v>12220063.133882292</v>
      </c>
      <c r="N88" s="18">
        <f t="shared" si="35"/>
        <v>13335529.111274801</v>
      </c>
      <c r="O88" s="18">
        <f t="shared" si="35"/>
        <v>15066657.919809291</v>
      </c>
      <c r="P88" s="18">
        <f t="shared" si="35"/>
        <v>16453908.936202835</v>
      </c>
      <c r="Q88" s="18">
        <f t="shared" si="35"/>
        <v>17923841.73187392</v>
      </c>
      <c r="R88" s="18">
        <f t="shared" si="35"/>
        <v>19754907.452501003</v>
      </c>
      <c r="S88" s="18">
        <f t="shared" si="35"/>
        <v>21549938.30725039</v>
      </c>
      <c r="T88" s="18">
        <f t="shared" si="35"/>
        <v>23590085.770707622</v>
      </c>
      <c r="U88" s="18">
        <f t="shared" si="35"/>
        <v>25800757.810981918</v>
      </c>
      <c r="V88" s="18">
        <f t="shared" si="35"/>
        <v>28284335.413992193</v>
      </c>
      <c r="W88" s="18">
        <f t="shared" si="35"/>
        <v>31013169.50171907</v>
      </c>
      <c r="X88" s="18">
        <f t="shared" si="35"/>
        <v>34005336.270097256</v>
      </c>
      <c r="Y88" s="18">
        <f t="shared" si="35"/>
        <v>37325341.853062525</v>
      </c>
      <c r="Z88" s="18">
        <f t="shared" si="35"/>
        <v>41040460.14244553</v>
      </c>
      <c r="AA88" s="18">
        <f t="shared" si="35"/>
        <v>45131889.47292919</v>
      </c>
      <c r="AB88" s="18">
        <f t="shared" si="35"/>
        <v>49672724.07203687</v>
      </c>
      <c r="AC88" s="18">
        <f t="shared" si="35"/>
        <v>54695021.896662064</v>
      </c>
      <c r="AD88" s="18">
        <f t="shared" si="35"/>
        <v>60234553.65190279</v>
      </c>
      <c r="AE88" s="18">
        <f t="shared" si="35"/>
        <v>66421485.59764258</v>
      </c>
      <c r="AF88" s="18">
        <f t="shared" si="35"/>
        <v>73256023.0277567</v>
      </c>
      <c r="AG88" s="18">
        <f t="shared" si="35"/>
        <v>80833892.68961711</v>
      </c>
      <c r="AH88" s="18">
        <f t="shared" si="35"/>
        <v>89257364.78157124</v>
      </c>
      <c r="AI88" s="18">
        <f t="shared" si="35"/>
        <v>98590271.23354328</v>
      </c>
      <c r="AJ88" s="18">
        <f t="shared" si="35"/>
        <v>108995835.35077745</v>
      </c>
      <c r="AK88" s="18">
        <f t="shared" si="35"/>
        <v>120508765.95777582</v>
      </c>
    </row>
    <row r="89" spans="3:37" ht="12.75">
      <c r="C89" s="7" t="s">
        <v>145</v>
      </c>
      <c r="E89" s="48"/>
      <c r="F89" s="78">
        <f>F88/F20</f>
        <v>0.90491438572217</v>
      </c>
      <c r="G89" s="78">
        <f aca="true" t="shared" si="36" ref="G89:AK89">G88/G20</f>
        <v>0.8949870410518126</v>
      </c>
      <c r="H89" s="78">
        <f t="shared" si="36"/>
        <v>0.8830449279311839</v>
      </c>
      <c r="I89" s="78">
        <f t="shared" si="36"/>
        <v>0.8739758426380191</v>
      </c>
      <c r="J89" s="78">
        <f t="shared" si="36"/>
        <v>0.8629661589874992</v>
      </c>
      <c r="K89" s="78">
        <f t="shared" si="36"/>
        <v>0.8541281544499666</v>
      </c>
      <c r="L89" s="78">
        <f t="shared" si="36"/>
        <v>0.8629081050008488</v>
      </c>
      <c r="M89" s="78">
        <f t="shared" si="36"/>
        <v>0.855277912129016</v>
      </c>
      <c r="N89" s="78">
        <f t="shared" si="36"/>
        <v>0.8484990752478805</v>
      </c>
      <c r="O89" s="78">
        <f t="shared" si="36"/>
        <v>0.8714959322274456</v>
      </c>
      <c r="P89" s="78">
        <f t="shared" si="36"/>
        <v>0.8652165948427407</v>
      </c>
      <c r="Q89" s="78">
        <f t="shared" si="36"/>
        <v>0.8568290185567758</v>
      </c>
      <c r="R89" s="78">
        <f t="shared" si="36"/>
        <v>0.8585100437432697</v>
      </c>
      <c r="S89" s="78">
        <f t="shared" si="36"/>
        <v>0.8513805550391139</v>
      </c>
      <c r="T89" s="78">
        <f t="shared" si="36"/>
        <v>0.8472557609523994</v>
      </c>
      <c r="U89" s="78">
        <f t="shared" si="36"/>
        <v>0.8424124710989601</v>
      </c>
      <c r="V89" s="78">
        <f t="shared" si="36"/>
        <v>0.8395481694428496</v>
      </c>
      <c r="W89" s="78">
        <f t="shared" si="36"/>
        <v>0.83686057390521</v>
      </c>
      <c r="X89" s="78">
        <f t="shared" si="36"/>
        <v>0.8341830168531181</v>
      </c>
      <c r="Y89" s="78">
        <f t="shared" si="36"/>
        <v>0.8323871723263884</v>
      </c>
      <c r="Z89" s="78">
        <f t="shared" si="36"/>
        <v>0.8320340910236065</v>
      </c>
      <c r="AA89" s="78">
        <f t="shared" si="36"/>
        <v>0.8318015597169555</v>
      </c>
      <c r="AB89" s="78">
        <f t="shared" si="36"/>
        <v>0.8322647616501716</v>
      </c>
      <c r="AC89" s="78">
        <f t="shared" si="36"/>
        <v>0.8331028970613334</v>
      </c>
      <c r="AD89" s="78">
        <f t="shared" si="36"/>
        <v>0.8340726019637832</v>
      </c>
      <c r="AE89" s="78">
        <f t="shared" si="36"/>
        <v>0.8361304865715731</v>
      </c>
      <c r="AF89" s="78">
        <f t="shared" si="36"/>
        <v>0.8383321591496169</v>
      </c>
      <c r="AG89" s="78">
        <f t="shared" si="36"/>
        <v>0.8409566264392379</v>
      </c>
      <c r="AH89" s="78">
        <f t="shared" si="36"/>
        <v>0.8441730417100832</v>
      </c>
      <c r="AI89" s="78">
        <f t="shared" si="36"/>
        <v>0.8476738673193609</v>
      </c>
      <c r="AJ89" s="78">
        <f t="shared" si="36"/>
        <v>0.8519457725714409</v>
      </c>
      <c r="AK89" s="78">
        <f t="shared" si="36"/>
        <v>0.8563040578995843</v>
      </c>
    </row>
    <row r="90" ht="12.75">
      <c r="C90" s="3"/>
    </row>
    <row r="91" ht="13.5" thickBot="1">
      <c r="C91" s="5" t="s">
        <v>28</v>
      </c>
    </row>
    <row r="92" spans="3:37" ht="13.5" thickTop="1">
      <c r="C92" s="3" t="str">
        <f>CONCATENATE("Diesel Fuel Consumption @ ",E19)</f>
        <v>Diesel Fuel Consumption @ 0.027</v>
      </c>
      <c r="D92" s="19">
        <v>14869432</v>
      </c>
      <c r="E92" s="19">
        <f>E18/$D$18*D92</f>
        <v>15612903.600000001</v>
      </c>
      <c r="F92" s="19">
        <f>F19/$D$18*$D$92</f>
        <v>15612903.600000001</v>
      </c>
      <c r="G92" s="19">
        <f aca="true" t="shared" si="37" ref="G92:AK92">G19/$D$18*$D$92</f>
        <v>16034451.9972</v>
      </c>
      <c r="H92" s="19">
        <f t="shared" si="37"/>
        <v>16467382.201124402</v>
      </c>
      <c r="I92" s="19">
        <f t="shared" si="37"/>
        <v>16912001.52055476</v>
      </c>
      <c r="J92" s="19">
        <f t="shared" si="37"/>
        <v>17368625.561609738</v>
      </c>
      <c r="K92" s="19">
        <f t="shared" si="37"/>
        <v>17837578.4517732</v>
      </c>
      <c r="L92" s="19">
        <f t="shared" si="37"/>
        <v>18319193.069971077</v>
      </c>
      <c r="M92" s="19">
        <f t="shared" si="37"/>
        <v>18813811.282860294</v>
      </c>
      <c r="N92" s="19">
        <f t="shared" si="37"/>
        <v>19321784.187497523</v>
      </c>
      <c r="O92" s="19">
        <f t="shared" si="37"/>
        <v>19843472.360559955</v>
      </c>
      <c r="P92" s="19">
        <f t="shared" si="37"/>
        <v>20379246.114295073</v>
      </c>
      <c r="Q92" s="19">
        <f t="shared" si="37"/>
        <v>20929485.759381037</v>
      </c>
      <c r="R92" s="19">
        <f t="shared" si="37"/>
        <v>21494581.874884326</v>
      </c>
      <c r="S92" s="19">
        <f t="shared" si="37"/>
        <v>22074935.585506205</v>
      </c>
      <c r="T92" s="19">
        <f t="shared" si="37"/>
        <v>22670958.846314874</v>
      </c>
      <c r="U92" s="19">
        <f t="shared" si="37"/>
        <v>23283074.735165372</v>
      </c>
      <c r="V92" s="19">
        <f t="shared" si="37"/>
        <v>23911717.75301484</v>
      </c>
      <c r="W92" s="19">
        <f t="shared" si="37"/>
        <v>24557334.13234624</v>
      </c>
      <c r="X92" s="19">
        <f t="shared" si="37"/>
        <v>25220382.15391959</v>
      </c>
      <c r="Y92" s="19">
        <f t="shared" si="37"/>
        <v>25901332.472075414</v>
      </c>
      <c r="Z92" s="19">
        <f t="shared" si="37"/>
        <v>26600668.448821448</v>
      </c>
      <c r="AA92" s="19">
        <f t="shared" si="37"/>
        <v>27318886.496939626</v>
      </c>
      <c r="AB92" s="19">
        <f t="shared" si="37"/>
        <v>28056496.432357</v>
      </c>
      <c r="AC92" s="19">
        <f t="shared" si="37"/>
        <v>28814021.836030636</v>
      </c>
      <c r="AD92" s="19">
        <f t="shared" si="37"/>
        <v>29592000.42560346</v>
      </c>
      <c r="AE92" s="19">
        <f t="shared" si="37"/>
        <v>30390984.43709475</v>
      </c>
      <c r="AF92" s="19">
        <f t="shared" si="37"/>
        <v>31211541.016896307</v>
      </c>
      <c r="AG92" s="19">
        <f t="shared" si="37"/>
        <v>32054252.62435251</v>
      </c>
      <c r="AH92" s="19">
        <f t="shared" si="37"/>
        <v>32919717.445210032</v>
      </c>
      <c r="AI92" s="19">
        <f t="shared" si="37"/>
        <v>33808549.8162307</v>
      </c>
      <c r="AJ92" s="19">
        <f t="shared" si="37"/>
        <v>34721380.661268935</v>
      </c>
      <c r="AK92" s="19">
        <f t="shared" si="37"/>
        <v>35658857.93912319</v>
      </c>
    </row>
    <row r="93" spans="3:37" ht="12.75">
      <c r="C93" s="3" t="str">
        <f>CONCATENATE("Diesel Fuel Consumption @ ",E20)</f>
        <v>Diesel Fuel Consumption @ 0.1</v>
      </c>
      <c r="D93" s="19">
        <v>14869432</v>
      </c>
      <c r="E93" s="19">
        <f>E18/$D$18*D93</f>
        <v>15612903.600000001</v>
      </c>
      <c r="F93" s="19">
        <f>F20/$D$18*$D$93</f>
        <v>15612903.600000001</v>
      </c>
      <c r="G93" s="19">
        <f aca="true" t="shared" si="38" ref="G93:AK93">G20/$D$18*$D$93</f>
        <v>17174193.96</v>
      </c>
      <c r="H93" s="19">
        <f t="shared" si="38"/>
        <v>18891613.356</v>
      </c>
      <c r="I93" s="19">
        <f t="shared" si="38"/>
        <v>20780774.6916</v>
      </c>
      <c r="J93" s="19">
        <f t="shared" si="38"/>
        <v>22858852.16076</v>
      </c>
      <c r="K93" s="19">
        <f t="shared" si="38"/>
        <v>25144737.376836</v>
      </c>
      <c r="L93" s="19">
        <f t="shared" si="38"/>
        <v>27659211.1145196</v>
      </c>
      <c r="M93" s="19">
        <f t="shared" si="38"/>
        <v>30425132.225971557</v>
      </c>
      <c r="N93" s="19">
        <f t="shared" si="38"/>
        <v>33467645.448568713</v>
      </c>
      <c r="O93" s="19">
        <f t="shared" si="38"/>
        <v>36814409.993425585</v>
      </c>
      <c r="P93" s="19">
        <f t="shared" si="38"/>
        <v>40495850.99276814</v>
      </c>
      <c r="Q93" s="19">
        <f t="shared" si="38"/>
        <v>44545436.092044964</v>
      </c>
      <c r="R93" s="19">
        <f t="shared" si="38"/>
        <v>48999979.70124946</v>
      </c>
      <c r="S93" s="19">
        <f t="shared" si="38"/>
        <v>53899977.671374395</v>
      </c>
      <c r="T93" s="19">
        <f t="shared" si="38"/>
        <v>59289975.43851183</v>
      </c>
      <c r="U93" s="19">
        <f t="shared" si="38"/>
        <v>65218972.98236302</v>
      </c>
      <c r="V93" s="19">
        <f t="shared" si="38"/>
        <v>71740870.28059933</v>
      </c>
      <c r="W93" s="19">
        <f t="shared" si="38"/>
        <v>78914957.30865926</v>
      </c>
      <c r="X93" s="19">
        <f t="shared" si="38"/>
        <v>86806453.03952518</v>
      </c>
      <c r="Y93" s="19">
        <f t="shared" si="38"/>
        <v>95487098.34347771</v>
      </c>
      <c r="Z93" s="19">
        <f t="shared" si="38"/>
        <v>105035808.17782548</v>
      </c>
      <c r="AA93" s="19">
        <f t="shared" si="38"/>
        <v>115539388.99560803</v>
      </c>
      <c r="AB93" s="19">
        <f t="shared" si="38"/>
        <v>127093327.89516884</v>
      </c>
      <c r="AC93" s="19">
        <f t="shared" si="38"/>
        <v>139802660.68468574</v>
      </c>
      <c r="AD93" s="19">
        <f t="shared" si="38"/>
        <v>153782926.7531543</v>
      </c>
      <c r="AE93" s="19">
        <f t="shared" si="38"/>
        <v>169161219.42846975</v>
      </c>
      <c r="AF93" s="19">
        <f t="shared" si="38"/>
        <v>186077341.3713167</v>
      </c>
      <c r="AG93" s="19">
        <f t="shared" si="38"/>
        <v>204685075.5084484</v>
      </c>
      <c r="AH93" s="19">
        <f t="shared" si="38"/>
        <v>225153583.05929324</v>
      </c>
      <c r="AI93" s="19">
        <f t="shared" si="38"/>
        <v>247668941.36522254</v>
      </c>
      <c r="AJ93" s="19">
        <f t="shared" si="38"/>
        <v>272435835.5017448</v>
      </c>
      <c r="AK93" s="19">
        <f t="shared" si="38"/>
        <v>299679419.05191934</v>
      </c>
    </row>
    <row r="94" spans="3:37" ht="12.75">
      <c r="C94" s="7" t="s">
        <v>142</v>
      </c>
      <c r="D94" s="24">
        <v>0.124</v>
      </c>
      <c r="E94" s="17">
        <v>0.124</v>
      </c>
      <c r="F94" s="65">
        <f>E94+E94*$E$99</f>
        <v>0.12834</v>
      </c>
      <c r="G94" s="65">
        <f aca="true" t="shared" si="39" ref="G94:AK94">F94+F94*$E$99</f>
        <v>0.1328319</v>
      </c>
      <c r="H94" s="65">
        <f t="shared" si="39"/>
        <v>0.1374810165</v>
      </c>
      <c r="I94" s="65">
        <f t="shared" si="39"/>
        <v>0.1422928520775</v>
      </c>
      <c r="J94" s="65">
        <f t="shared" si="39"/>
        <v>0.1472731019002125</v>
      </c>
      <c r="K94" s="65">
        <f t="shared" si="39"/>
        <v>0.15242766046671993</v>
      </c>
      <c r="L94" s="65">
        <f t="shared" si="39"/>
        <v>0.15776262858305512</v>
      </c>
      <c r="M94" s="65">
        <f t="shared" si="39"/>
        <v>0.16328432058346204</v>
      </c>
      <c r="N94" s="65">
        <f t="shared" si="39"/>
        <v>0.16899927180388322</v>
      </c>
      <c r="O94" s="65">
        <f t="shared" si="39"/>
        <v>0.17491424631701913</v>
      </c>
      <c r="P94" s="65">
        <f t="shared" si="39"/>
        <v>0.1810362449381148</v>
      </c>
      <c r="Q94" s="65">
        <f t="shared" si="39"/>
        <v>0.1873725135109488</v>
      </c>
      <c r="R94" s="65">
        <f t="shared" si="39"/>
        <v>0.193930551483832</v>
      </c>
      <c r="S94" s="65">
        <f t="shared" si="39"/>
        <v>0.20071812078576612</v>
      </c>
      <c r="T94" s="65">
        <f t="shared" si="39"/>
        <v>0.20774325501326793</v>
      </c>
      <c r="U94" s="65">
        <f t="shared" si="39"/>
        <v>0.21501426893873232</v>
      </c>
      <c r="V94" s="65">
        <f t="shared" si="39"/>
        <v>0.22253976835158795</v>
      </c>
      <c r="W94" s="65">
        <f t="shared" si="39"/>
        <v>0.23032866024389353</v>
      </c>
      <c r="X94" s="65">
        <f t="shared" si="39"/>
        <v>0.2383901633524298</v>
      </c>
      <c r="Y94" s="65">
        <f t="shared" si="39"/>
        <v>0.24673381906976483</v>
      </c>
      <c r="Z94" s="65">
        <f t="shared" si="39"/>
        <v>0.2553695027372066</v>
      </c>
      <c r="AA94" s="65">
        <f t="shared" si="39"/>
        <v>0.2643074353330088</v>
      </c>
      <c r="AB94" s="65">
        <f t="shared" si="39"/>
        <v>0.27355819556966415</v>
      </c>
      <c r="AC94" s="65">
        <f t="shared" si="39"/>
        <v>0.2831327324146024</v>
      </c>
      <c r="AD94" s="65">
        <f t="shared" si="39"/>
        <v>0.2930423780491135</v>
      </c>
      <c r="AE94" s="65">
        <f t="shared" si="39"/>
        <v>0.30329886128083244</v>
      </c>
      <c r="AF94" s="65">
        <f t="shared" si="39"/>
        <v>0.31391432142566156</v>
      </c>
      <c r="AG94" s="65">
        <f t="shared" si="39"/>
        <v>0.3249013226755597</v>
      </c>
      <c r="AH94" s="65">
        <f t="shared" si="39"/>
        <v>0.3362728689692043</v>
      </c>
      <c r="AI94" s="65">
        <f t="shared" si="39"/>
        <v>0.3480424193831264</v>
      </c>
      <c r="AJ94" s="65">
        <f t="shared" si="39"/>
        <v>0.3602239040615358</v>
      </c>
      <c r="AK94" s="65">
        <f t="shared" si="39"/>
        <v>0.3728317407036896</v>
      </c>
    </row>
    <row r="95" spans="3:37" ht="12.75">
      <c r="C95" s="3" t="str">
        <f>CONCATENATE("Diesel Fuel Cost @ ",E19)</f>
        <v>Diesel Fuel Cost @ 0.027</v>
      </c>
      <c r="D95" s="68"/>
      <c r="E95" s="18">
        <f>E92*E94</f>
        <v>1936000.0464</v>
      </c>
      <c r="F95" s="18">
        <f aca="true" t="shared" si="40" ref="F95:AK95">F92*F94</f>
        <v>2003760.0480240004</v>
      </c>
      <c r="G95" s="18">
        <f t="shared" si="40"/>
        <v>2129886.7242468707</v>
      </c>
      <c r="H95" s="18">
        <f t="shared" si="40"/>
        <v>2263952.44410459</v>
      </c>
      <c r="I95" s="18">
        <f t="shared" si="40"/>
        <v>2406456.9306987533</v>
      </c>
      <c r="J95" s="18">
        <f t="shared" si="40"/>
        <v>2557931.3622015864</v>
      </c>
      <c r="K95" s="18">
        <f t="shared" si="40"/>
        <v>2718940.351795365</v>
      </c>
      <c r="L95" s="18">
        <f t="shared" si="40"/>
        <v>2890084.052239124</v>
      </c>
      <c r="M95" s="18">
        <f t="shared" si="40"/>
        <v>3072000.3929073154</v>
      </c>
      <c r="N95" s="18">
        <f t="shared" si="40"/>
        <v>3265367.4576388667</v>
      </c>
      <c r="O95" s="18">
        <f t="shared" si="40"/>
        <v>3470906.012259945</v>
      </c>
      <c r="P95" s="18">
        <f t="shared" si="40"/>
        <v>3689382.191201647</v>
      </c>
      <c r="Q95" s="18">
        <f t="shared" si="40"/>
        <v>3921610.353226834</v>
      </c>
      <c r="R95" s="18">
        <f t="shared" si="40"/>
        <v>4168456.116910697</v>
      </c>
      <c r="S95" s="18">
        <f t="shared" si="40"/>
        <v>4430839.587189641</v>
      </c>
      <c r="T95" s="18">
        <f t="shared" si="40"/>
        <v>4709738.785005293</v>
      </c>
      <c r="U95" s="18">
        <f t="shared" si="40"/>
        <v>5006193.292827452</v>
      </c>
      <c r="V95" s="18">
        <f t="shared" si="40"/>
        <v>5321308.129644476</v>
      </c>
      <c r="W95" s="18">
        <f t="shared" si="40"/>
        <v>5656257.869864947</v>
      </c>
      <c r="X95" s="18">
        <f t="shared" si="40"/>
        <v>6012291.021483596</v>
      </c>
      <c r="Y95" s="18">
        <f t="shared" si="40"/>
        <v>6390734.67983088</v>
      </c>
      <c r="Z95" s="18">
        <f t="shared" si="40"/>
        <v>6792999.474252834</v>
      </c>
      <c r="AA95" s="18">
        <f t="shared" si="40"/>
        <v>7220584.826159678</v>
      </c>
      <c r="AB95" s="18">
        <f t="shared" si="40"/>
        <v>7675084.5380423</v>
      </c>
      <c r="AC95" s="18">
        <f t="shared" si="40"/>
        <v>8158192.734289372</v>
      </c>
      <c r="AD95" s="18">
        <f t="shared" si="40"/>
        <v>8671710.175949216</v>
      </c>
      <c r="AE95" s="18">
        <f t="shared" si="40"/>
        <v>9217550.97297434</v>
      </c>
      <c r="AF95" s="18">
        <f t="shared" si="40"/>
        <v>9797749.718968207</v>
      </c>
      <c r="AG95" s="18">
        <f t="shared" si="40"/>
        <v>10414469.075028662</v>
      </c>
      <c r="AH95" s="18">
        <f t="shared" si="40"/>
        <v>11070007.830956342</v>
      </c>
      <c r="AI95" s="18">
        <f t="shared" si="40"/>
        <v>11766809.473875886</v>
      </c>
      <c r="AJ95" s="18">
        <f t="shared" si="40"/>
        <v>12507471.296209006</v>
      </c>
      <c r="AK95" s="18">
        <f t="shared" si="40"/>
        <v>13294754.07694888</v>
      </c>
    </row>
    <row r="96" spans="3:37" ht="12.75">
      <c r="C96" s="3" t="str">
        <f>CONCATENATE("Diesel Fuel Cost @ ",E20)</f>
        <v>Diesel Fuel Cost @ 0.1</v>
      </c>
      <c r="D96" s="68"/>
      <c r="E96" s="18">
        <f>E93*E94</f>
        <v>1936000.0464</v>
      </c>
      <c r="F96" s="18">
        <f aca="true" t="shared" si="41" ref="F96:AK96">F93*F94</f>
        <v>2003760.0480240004</v>
      </c>
      <c r="G96" s="18">
        <f t="shared" si="41"/>
        <v>2281280.814675324</v>
      </c>
      <c r="H96" s="18">
        <f t="shared" si="41"/>
        <v>2597238.207507856</v>
      </c>
      <c r="I96" s="18">
        <f t="shared" si="41"/>
        <v>2956955.6992476946</v>
      </c>
      <c r="J96" s="18">
        <f t="shared" si="41"/>
        <v>3366494.0635935003</v>
      </c>
      <c r="K96" s="18">
        <f t="shared" si="41"/>
        <v>3832753.4914011997</v>
      </c>
      <c r="L96" s="18">
        <f t="shared" si="41"/>
        <v>4363589.849960266</v>
      </c>
      <c r="M96" s="18">
        <f t="shared" si="41"/>
        <v>4967947.044179762</v>
      </c>
      <c r="N96" s="18">
        <f t="shared" si="41"/>
        <v>5656007.709798659</v>
      </c>
      <c r="O96" s="18">
        <f t="shared" si="41"/>
        <v>6439364.777605773</v>
      </c>
      <c r="P96" s="18">
        <f t="shared" si="41"/>
        <v>7331216.799304171</v>
      </c>
      <c r="Q96" s="18">
        <f t="shared" si="41"/>
        <v>8346590.326007801</v>
      </c>
      <c r="R96" s="18">
        <f t="shared" si="41"/>
        <v>9502593.086159881</v>
      </c>
      <c r="S96" s="18">
        <f t="shared" si="41"/>
        <v>10818702.228593023</v>
      </c>
      <c r="T96" s="18">
        <f t="shared" si="41"/>
        <v>12317092.487253156</v>
      </c>
      <c r="U96" s="18">
        <f t="shared" si="41"/>
        <v>14023009.79673772</v>
      </c>
      <c r="V96" s="18">
        <f t="shared" si="41"/>
        <v>15965196.653585894</v>
      </c>
      <c r="W96" s="18">
        <f t="shared" si="41"/>
        <v>18176376.390107542</v>
      </c>
      <c r="X96" s="18">
        <f t="shared" si="41"/>
        <v>20693804.520137433</v>
      </c>
      <c r="Y96" s="18">
        <f t="shared" si="41"/>
        <v>23559896.44617647</v>
      </c>
      <c r="Z96" s="18">
        <f t="shared" si="41"/>
        <v>26822942.10397191</v>
      </c>
      <c r="AA96" s="18">
        <f t="shared" si="41"/>
        <v>30537919.58537202</v>
      </c>
      <c r="AB96" s="18">
        <f t="shared" si="41"/>
        <v>34767421.44794605</v>
      </c>
      <c r="AC96" s="18">
        <f t="shared" si="41"/>
        <v>39582709.318486586</v>
      </c>
      <c r="AD96" s="18">
        <f t="shared" si="41"/>
        <v>45064914.55909697</v>
      </c>
      <c r="AE96" s="18">
        <f t="shared" si="41"/>
        <v>51306405.225531906</v>
      </c>
      <c r="AF96" s="18">
        <f t="shared" si="41"/>
        <v>58412342.349268064</v>
      </c>
      <c r="AG96" s="18">
        <f t="shared" si="41"/>
        <v>66502451.764641695</v>
      </c>
      <c r="AH96" s="18">
        <f t="shared" si="41"/>
        <v>75713041.33404456</v>
      </c>
      <c r="AI96" s="18">
        <f t="shared" si="41"/>
        <v>86199297.55880973</v>
      </c>
      <c r="AJ96" s="18">
        <f t="shared" si="41"/>
        <v>98137900.27070488</v>
      </c>
      <c r="AK96" s="18">
        <f t="shared" si="41"/>
        <v>111729999.45819752</v>
      </c>
    </row>
    <row r="97" spans="3:37" ht="12.75">
      <c r="C97" s="3" t="str">
        <f>CONCATENATE("Lube Oil Expense @ ",E19)</f>
        <v>Lube Oil Expense @ 0.027</v>
      </c>
      <c r="D97" s="39">
        <v>0.124</v>
      </c>
      <c r="E97" s="52">
        <v>0.124</v>
      </c>
      <c r="F97" s="18">
        <f>F95*$E$97</f>
        <v>248466.24595497604</v>
      </c>
      <c r="G97" s="18">
        <f aca="true" t="shared" si="42" ref="G97:AK97">G95*$E$97</f>
        <v>264105.95380661194</v>
      </c>
      <c r="H97" s="18">
        <f t="shared" si="42"/>
        <v>280730.10306896915</v>
      </c>
      <c r="I97" s="18">
        <f t="shared" si="42"/>
        <v>298400.6594066454</v>
      </c>
      <c r="J97" s="18">
        <f t="shared" si="42"/>
        <v>317183.4889129967</v>
      </c>
      <c r="K97" s="18">
        <f t="shared" si="42"/>
        <v>337148.6036226253</v>
      </c>
      <c r="L97" s="18">
        <f t="shared" si="42"/>
        <v>358370.4224776514</v>
      </c>
      <c r="M97" s="18">
        <f t="shared" si="42"/>
        <v>380928.0487205071</v>
      </c>
      <c r="N97" s="18">
        <f t="shared" si="42"/>
        <v>404905.5647472195</v>
      </c>
      <c r="O97" s="18">
        <f t="shared" si="42"/>
        <v>430392.34552023315</v>
      </c>
      <c r="P97" s="18">
        <f t="shared" si="42"/>
        <v>457483.3917090042</v>
      </c>
      <c r="Q97" s="18">
        <f t="shared" si="42"/>
        <v>486279.6838001274</v>
      </c>
      <c r="R97" s="18">
        <f t="shared" si="42"/>
        <v>516888.55849692645</v>
      </c>
      <c r="S97" s="18">
        <f t="shared" si="42"/>
        <v>549424.1088115155</v>
      </c>
      <c r="T97" s="18">
        <f t="shared" si="42"/>
        <v>584007.6093406563</v>
      </c>
      <c r="U97" s="18">
        <f t="shared" si="42"/>
        <v>620767.968310604</v>
      </c>
      <c r="V97" s="18">
        <f t="shared" si="42"/>
        <v>659842.208075915</v>
      </c>
      <c r="W97" s="18">
        <f t="shared" si="42"/>
        <v>701375.9758632535</v>
      </c>
      <c r="X97" s="18">
        <f t="shared" si="42"/>
        <v>745524.086663966</v>
      </c>
      <c r="Y97" s="18">
        <f t="shared" si="42"/>
        <v>792451.1002990291</v>
      </c>
      <c r="Z97" s="18">
        <f t="shared" si="42"/>
        <v>842331.9348073514</v>
      </c>
      <c r="AA97" s="18">
        <f t="shared" si="42"/>
        <v>895352.5184438002</v>
      </c>
      <c r="AB97" s="18">
        <f t="shared" si="42"/>
        <v>951710.4827172452</v>
      </c>
      <c r="AC97" s="18">
        <f t="shared" si="42"/>
        <v>1011615.8990518822</v>
      </c>
      <c r="AD97" s="18">
        <f t="shared" si="42"/>
        <v>1075292.0618177028</v>
      </c>
      <c r="AE97" s="18">
        <f t="shared" si="42"/>
        <v>1142976.320648818</v>
      </c>
      <c r="AF97" s="18">
        <f t="shared" si="42"/>
        <v>1214920.9651520576</v>
      </c>
      <c r="AG97" s="18">
        <f t="shared" si="42"/>
        <v>1291394.165303554</v>
      </c>
      <c r="AH97" s="18">
        <f t="shared" si="42"/>
        <v>1372680.9710385865</v>
      </c>
      <c r="AI97" s="18">
        <f t="shared" si="42"/>
        <v>1459084.3747606098</v>
      </c>
      <c r="AJ97" s="18">
        <f t="shared" si="42"/>
        <v>1550926.4407299168</v>
      </c>
      <c r="AK97" s="18">
        <f t="shared" si="42"/>
        <v>1648549.505541661</v>
      </c>
    </row>
    <row r="98" spans="3:37" ht="12.75">
      <c r="C98" s="3" t="str">
        <f>CONCATENATE("Lube Oil Expense @ ",E20)</f>
        <v>Lube Oil Expense @ 0.1</v>
      </c>
      <c r="D98" s="39">
        <v>0.124</v>
      </c>
      <c r="E98" s="52">
        <v>0.124</v>
      </c>
      <c r="F98" s="18">
        <f>F96*$E$97</f>
        <v>248466.24595497604</v>
      </c>
      <c r="G98" s="18">
        <f aca="true" t="shared" si="43" ref="G98:AK98">G96*$E$97</f>
        <v>282878.8210197402</v>
      </c>
      <c r="H98" s="18">
        <f t="shared" si="43"/>
        <v>322057.53773097415</v>
      </c>
      <c r="I98" s="18">
        <f t="shared" si="43"/>
        <v>366662.5067067141</v>
      </c>
      <c r="J98" s="18">
        <f t="shared" si="43"/>
        <v>417445.26388559403</v>
      </c>
      <c r="K98" s="18">
        <f t="shared" si="43"/>
        <v>475261.43293374876</v>
      </c>
      <c r="L98" s="18">
        <f t="shared" si="43"/>
        <v>541085.1413950729</v>
      </c>
      <c r="M98" s="18">
        <f t="shared" si="43"/>
        <v>616025.4334782904</v>
      </c>
      <c r="N98" s="18">
        <f t="shared" si="43"/>
        <v>701344.9560150338</v>
      </c>
      <c r="O98" s="18">
        <f t="shared" si="43"/>
        <v>798481.2324231159</v>
      </c>
      <c r="P98" s="18">
        <f t="shared" si="43"/>
        <v>909070.8831137173</v>
      </c>
      <c r="Q98" s="18">
        <f t="shared" si="43"/>
        <v>1034977.2004249673</v>
      </c>
      <c r="R98" s="18">
        <f t="shared" si="43"/>
        <v>1178321.5426838254</v>
      </c>
      <c r="S98" s="18">
        <f t="shared" si="43"/>
        <v>1341519.076345535</v>
      </c>
      <c r="T98" s="18">
        <f t="shared" si="43"/>
        <v>1527319.4684193912</v>
      </c>
      <c r="U98" s="18">
        <f t="shared" si="43"/>
        <v>1738853.2147954772</v>
      </c>
      <c r="V98" s="18">
        <f t="shared" si="43"/>
        <v>1979684.3850446509</v>
      </c>
      <c r="W98" s="18">
        <f t="shared" si="43"/>
        <v>2253870.6723733353</v>
      </c>
      <c r="X98" s="18">
        <f t="shared" si="43"/>
        <v>2566031.7604970415</v>
      </c>
      <c r="Y98" s="18">
        <f t="shared" si="43"/>
        <v>2921427.1593258823</v>
      </c>
      <c r="Z98" s="18">
        <f t="shared" si="43"/>
        <v>3326044.820892517</v>
      </c>
      <c r="AA98" s="18">
        <f t="shared" si="43"/>
        <v>3786702.0285861306</v>
      </c>
      <c r="AB98" s="18">
        <f t="shared" si="43"/>
        <v>4311160.25954531</v>
      </c>
      <c r="AC98" s="18">
        <f t="shared" si="43"/>
        <v>4908255.955492336</v>
      </c>
      <c r="AD98" s="18">
        <f t="shared" si="43"/>
        <v>5588049.405328024</v>
      </c>
      <c r="AE98" s="18">
        <f t="shared" si="43"/>
        <v>6361994.247965956</v>
      </c>
      <c r="AF98" s="18">
        <f t="shared" si="43"/>
        <v>7243130.4513092395</v>
      </c>
      <c r="AG98" s="18">
        <f t="shared" si="43"/>
        <v>8246304.0188155705</v>
      </c>
      <c r="AH98" s="18">
        <f t="shared" si="43"/>
        <v>9388417.125421526</v>
      </c>
      <c r="AI98" s="18">
        <f t="shared" si="43"/>
        <v>10688712.897292405</v>
      </c>
      <c r="AJ98" s="18">
        <f t="shared" si="43"/>
        <v>12169099.633567406</v>
      </c>
      <c r="AK98" s="18">
        <f t="shared" si="43"/>
        <v>13854519.932816492</v>
      </c>
    </row>
    <row r="99" spans="3:37" ht="12.75">
      <c r="C99" s="3" t="s">
        <v>29</v>
      </c>
      <c r="D99" s="39">
        <v>0.035</v>
      </c>
      <c r="E99" s="52">
        <v>0.035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3:37" ht="12.75">
      <c r="C100" s="3" t="s">
        <v>30</v>
      </c>
      <c r="D100" s="19">
        <v>3000</v>
      </c>
      <c r="E100" s="53">
        <v>3000</v>
      </c>
      <c r="F100" s="19">
        <f>E100</f>
        <v>3000</v>
      </c>
      <c r="G100" s="19">
        <f>F100</f>
        <v>3000</v>
      </c>
      <c r="H100" s="19">
        <f aca="true" t="shared" si="44" ref="H100:AK100">G100</f>
        <v>3000</v>
      </c>
      <c r="I100" s="19">
        <f t="shared" si="44"/>
        <v>3000</v>
      </c>
      <c r="J100" s="19">
        <f t="shared" si="44"/>
        <v>3000</v>
      </c>
      <c r="K100" s="19">
        <f t="shared" si="44"/>
        <v>3000</v>
      </c>
      <c r="L100" s="19">
        <f t="shared" si="44"/>
        <v>3000</v>
      </c>
      <c r="M100" s="19">
        <f t="shared" si="44"/>
        <v>3000</v>
      </c>
      <c r="N100" s="19">
        <f t="shared" si="44"/>
        <v>3000</v>
      </c>
      <c r="O100" s="19">
        <f t="shared" si="44"/>
        <v>3000</v>
      </c>
      <c r="P100" s="19">
        <f t="shared" si="44"/>
        <v>3000</v>
      </c>
      <c r="Q100" s="19">
        <f t="shared" si="44"/>
        <v>3000</v>
      </c>
      <c r="R100" s="19">
        <f t="shared" si="44"/>
        <v>3000</v>
      </c>
      <c r="S100" s="19">
        <f t="shared" si="44"/>
        <v>3000</v>
      </c>
      <c r="T100" s="19">
        <f t="shared" si="44"/>
        <v>3000</v>
      </c>
      <c r="U100" s="19">
        <f t="shared" si="44"/>
        <v>3000</v>
      </c>
      <c r="V100" s="19">
        <f t="shared" si="44"/>
        <v>3000</v>
      </c>
      <c r="W100" s="19">
        <f t="shared" si="44"/>
        <v>3000</v>
      </c>
      <c r="X100" s="19">
        <f t="shared" si="44"/>
        <v>3000</v>
      </c>
      <c r="Y100" s="19">
        <f t="shared" si="44"/>
        <v>3000</v>
      </c>
      <c r="Z100" s="19">
        <f t="shared" si="44"/>
        <v>3000</v>
      </c>
      <c r="AA100" s="19">
        <f t="shared" si="44"/>
        <v>3000</v>
      </c>
      <c r="AB100" s="19">
        <f t="shared" si="44"/>
        <v>3000</v>
      </c>
      <c r="AC100" s="19">
        <f t="shared" si="44"/>
        <v>3000</v>
      </c>
      <c r="AD100" s="19">
        <f t="shared" si="44"/>
        <v>3000</v>
      </c>
      <c r="AE100" s="19">
        <f t="shared" si="44"/>
        <v>3000</v>
      </c>
      <c r="AF100" s="19">
        <f t="shared" si="44"/>
        <v>3000</v>
      </c>
      <c r="AG100" s="19">
        <f t="shared" si="44"/>
        <v>3000</v>
      </c>
      <c r="AH100" s="19">
        <f t="shared" si="44"/>
        <v>3000</v>
      </c>
      <c r="AI100" s="19">
        <f t="shared" si="44"/>
        <v>3000</v>
      </c>
      <c r="AJ100" s="19">
        <f t="shared" si="44"/>
        <v>3000</v>
      </c>
      <c r="AK100" s="19">
        <f t="shared" si="44"/>
        <v>3000</v>
      </c>
    </row>
    <row r="101" spans="3:37" ht="11.25" customHeight="1">
      <c r="C101" s="3" t="s">
        <v>31</v>
      </c>
      <c r="D101" s="55">
        <v>0.04</v>
      </c>
      <c r="E101" s="54">
        <v>0.04</v>
      </c>
      <c r="F101" s="42" t="s">
        <v>52</v>
      </c>
      <c r="G101" s="42" t="s">
        <v>52</v>
      </c>
      <c r="H101" s="42" t="s">
        <v>52</v>
      </c>
      <c r="I101" s="42" t="s">
        <v>52</v>
      </c>
      <c r="J101" s="42" t="s">
        <v>52</v>
      </c>
      <c r="K101" s="42" t="s">
        <v>52</v>
      </c>
      <c r="L101" s="42" t="s">
        <v>52</v>
      </c>
      <c r="M101" s="42" t="s">
        <v>52</v>
      </c>
      <c r="N101" s="42" t="s">
        <v>52</v>
      </c>
      <c r="O101" s="42" t="s">
        <v>52</v>
      </c>
      <c r="P101" s="42" t="s">
        <v>52</v>
      </c>
      <c r="Q101" s="42" t="s">
        <v>52</v>
      </c>
      <c r="R101" s="42" t="s">
        <v>52</v>
      </c>
      <c r="S101" s="42" t="s">
        <v>52</v>
      </c>
      <c r="T101" s="42" t="s">
        <v>52</v>
      </c>
      <c r="U101" s="42" t="s">
        <v>52</v>
      </c>
      <c r="V101" s="42" t="s">
        <v>52</v>
      </c>
      <c r="W101" s="42" t="s">
        <v>52</v>
      </c>
      <c r="X101" s="42" t="s">
        <v>52</v>
      </c>
      <c r="Y101" s="42" t="s">
        <v>52</v>
      </c>
      <c r="Z101" s="42" t="s">
        <v>52</v>
      </c>
      <c r="AA101" s="42" t="s">
        <v>52</v>
      </c>
      <c r="AB101" s="42" t="s">
        <v>52</v>
      </c>
      <c r="AC101" s="42" t="s">
        <v>52</v>
      </c>
      <c r="AD101" s="42" t="s">
        <v>52</v>
      </c>
      <c r="AE101" s="42" t="s">
        <v>52</v>
      </c>
      <c r="AF101" s="42" t="s">
        <v>52</v>
      </c>
      <c r="AG101" s="42" t="s">
        <v>52</v>
      </c>
      <c r="AH101" s="42" t="s">
        <v>52</v>
      </c>
      <c r="AI101" s="42" t="s">
        <v>52</v>
      </c>
      <c r="AJ101" s="42" t="s">
        <v>52</v>
      </c>
      <c r="AK101" s="42" t="s">
        <v>52</v>
      </c>
    </row>
    <row r="102" spans="3:37" ht="12.75">
      <c r="C102" s="3" t="str">
        <f>CONCATENATE("Number of Diesel Locomotives @ ",E19)</f>
        <v>Number of Diesel Locomotives @ 0.027</v>
      </c>
      <c r="D102" s="36">
        <v>90</v>
      </c>
      <c r="E102" s="19">
        <v>90</v>
      </c>
      <c r="F102" s="60">
        <f>ROUNDUP(F19*$E$101/F100,0)</f>
        <v>98</v>
      </c>
      <c r="G102" s="24">
        <f aca="true" t="shared" si="45" ref="G102:AK102">ROUNDUP(G19*$E$101/G100,0)</f>
        <v>101</v>
      </c>
      <c r="H102" s="24">
        <f t="shared" si="45"/>
        <v>104</v>
      </c>
      <c r="I102" s="24">
        <f t="shared" si="45"/>
        <v>106</v>
      </c>
      <c r="J102" s="24">
        <f t="shared" si="45"/>
        <v>109</v>
      </c>
      <c r="K102" s="24">
        <f t="shared" si="45"/>
        <v>112</v>
      </c>
      <c r="L102" s="24">
        <f t="shared" si="45"/>
        <v>115</v>
      </c>
      <c r="M102" s="24">
        <f t="shared" si="45"/>
        <v>118</v>
      </c>
      <c r="N102" s="24">
        <f t="shared" si="45"/>
        <v>121</v>
      </c>
      <c r="O102" s="24">
        <f t="shared" si="45"/>
        <v>125</v>
      </c>
      <c r="P102" s="24">
        <f t="shared" si="45"/>
        <v>128</v>
      </c>
      <c r="Q102" s="24">
        <f t="shared" si="45"/>
        <v>132</v>
      </c>
      <c r="R102" s="24">
        <f t="shared" si="45"/>
        <v>135</v>
      </c>
      <c r="S102" s="24">
        <f t="shared" si="45"/>
        <v>139</v>
      </c>
      <c r="T102" s="24">
        <f t="shared" si="45"/>
        <v>142</v>
      </c>
      <c r="U102" s="24">
        <f t="shared" si="45"/>
        <v>146</v>
      </c>
      <c r="V102" s="24">
        <f t="shared" si="45"/>
        <v>150</v>
      </c>
      <c r="W102" s="24">
        <f t="shared" si="45"/>
        <v>154</v>
      </c>
      <c r="X102" s="24">
        <f t="shared" si="45"/>
        <v>158</v>
      </c>
      <c r="Y102" s="24">
        <f t="shared" si="45"/>
        <v>163</v>
      </c>
      <c r="Z102" s="24">
        <f t="shared" si="45"/>
        <v>167</v>
      </c>
      <c r="AA102" s="24">
        <f t="shared" si="45"/>
        <v>172</v>
      </c>
      <c r="AB102" s="24">
        <f t="shared" si="45"/>
        <v>176</v>
      </c>
      <c r="AC102" s="24">
        <f t="shared" si="45"/>
        <v>181</v>
      </c>
      <c r="AD102" s="24">
        <f t="shared" si="45"/>
        <v>186</v>
      </c>
      <c r="AE102" s="24">
        <f t="shared" si="45"/>
        <v>191</v>
      </c>
      <c r="AF102" s="24">
        <f t="shared" si="45"/>
        <v>196</v>
      </c>
      <c r="AG102" s="24">
        <f t="shared" si="45"/>
        <v>201</v>
      </c>
      <c r="AH102" s="24">
        <f t="shared" si="45"/>
        <v>207</v>
      </c>
      <c r="AI102" s="24">
        <f t="shared" si="45"/>
        <v>212</v>
      </c>
      <c r="AJ102" s="24">
        <f t="shared" si="45"/>
        <v>218</v>
      </c>
      <c r="AK102" s="24">
        <f t="shared" si="45"/>
        <v>224</v>
      </c>
    </row>
    <row r="103" spans="3:37" ht="12.75">
      <c r="C103" s="3" t="str">
        <f>CONCATENATE("Number of Diesel Locomotives @ ",E20)</f>
        <v>Number of Diesel Locomotives @ 0.1</v>
      </c>
      <c r="D103" s="35">
        <v>90</v>
      </c>
      <c r="E103" s="24">
        <v>90</v>
      </c>
      <c r="F103" s="60">
        <f>ROUNDUP(F20*$E$101/F100,0)</f>
        <v>98</v>
      </c>
      <c r="G103" s="24">
        <f aca="true" t="shared" si="46" ref="G103:AK103">ROUNDUP(G20*$E$101/G100,0)</f>
        <v>108</v>
      </c>
      <c r="H103" s="24">
        <f t="shared" si="46"/>
        <v>119</v>
      </c>
      <c r="I103" s="24">
        <f t="shared" si="46"/>
        <v>131</v>
      </c>
      <c r="J103" s="24">
        <f t="shared" si="46"/>
        <v>144</v>
      </c>
      <c r="K103" s="24">
        <f t="shared" si="46"/>
        <v>158</v>
      </c>
      <c r="L103" s="24">
        <f t="shared" si="46"/>
        <v>174</v>
      </c>
      <c r="M103" s="24">
        <f t="shared" si="46"/>
        <v>191</v>
      </c>
      <c r="N103" s="24">
        <f t="shared" si="46"/>
        <v>210</v>
      </c>
      <c r="O103" s="24">
        <f t="shared" si="46"/>
        <v>231</v>
      </c>
      <c r="P103" s="24">
        <f t="shared" si="46"/>
        <v>254</v>
      </c>
      <c r="Q103" s="24">
        <f t="shared" si="46"/>
        <v>279</v>
      </c>
      <c r="R103" s="24">
        <f t="shared" si="46"/>
        <v>307</v>
      </c>
      <c r="S103" s="24">
        <f t="shared" si="46"/>
        <v>338</v>
      </c>
      <c r="T103" s="24">
        <f t="shared" si="46"/>
        <v>372</v>
      </c>
      <c r="U103" s="24">
        <f t="shared" si="46"/>
        <v>409</v>
      </c>
      <c r="V103" s="24">
        <f t="shared" si="46"/>
        <v>450</v>
      </c>
      <c r="W103" s="24">
        <f t="shared" si="46"/>
        <v>495</v>
      </c>
      <c r="X103" s="24">
        <f t="shared" si="46"/>
        <v>544</v>
      </c>
      <c r="Y103" s="24">
        <f t="shared" si="46"/>
        <v>598</v>
      </c>
      <c r="Z103" s="24">
        <f t="shared" si="46"/>
        <v>658</v>
      </c>
      <c r="AA103" s="24">
        <f t="shared" si="46"/>
        <v>724</v>
      </c>
      <c r="AB103" s="24">
        <f t="shared" si="46"/>
        <v>796</v>
      </c>
      <c r="AC103" s="24">
        <f t="shared" si="46"/>
        <v>876</v>
      </c>
      <c r="AD103" s="24">
        <f t="shared" si="46"/>
        <v>963</v>
      </c>
      <c r="AE103" s="24">
        <f t="shared" si="46"/>
        <v>1060</v>
      </c>
      <c r="AF103" s="24">
        <f t="shared" si="46"/>
        <v>1166</v>
      </c>
      <c r="AG103" s="24">
        <f t="shared" si="46"/>
        <v>1282</v>
      </c>
      <c r="AH103" s="24">
        <f t="shared" si="46"/>
        <v>1410</v>
      </c>
      <c r="AI103" s="24">
        <f t="shared" si="46"/>
        <v>1551</v>
      </c>
      <c r="AJ103" s="24">
        <f t="shared" si="46"/>
        <v>1706</v>
      </c>
      <c r="AK103" s="24">
        <f t="shared" si="46"/>
        <v>1877</v>
      </c>
    </row>
    <row r="104" spans="3:37" ht="12.75">
      <c r="C104" s="3" t="str">
        <f>CONCATENATE("Retirements @ ",E19)</f>
        <v>Retirements @ 0.027</v>
      </c>
      <c r="D104" s="67"/>
      <c r="E104" s="68"/>
      <c r="F104" s="60">
        <f>IF(F$17-$D$17=$E$30,D106,0)</f>
        <v>0</v>
      </c>
      <c r="G104" s="24">
        <f aca="true" t="shared" si="47" ref="G104:S104">IF(G$17-$D$17=$E$30,E106,0)</f>
        <v>0</v>
      </c>
      <c r="H104" s="24">
        <f t="shared" si="47"/>
        <v>0</v>
      </c>
      <c r="I104" s="24">
        <f t="shared" si="47"/>
        <v>0</v>
      </c>
      <c r="J104" s="24">
        <f t="shared" si="47"/>
        <v>0</v>
      </c>
      <c r="K104" s="24">
        <f t="shared" si="47"/>
        <v>0</v>
      </c>
      <c r="L104" s="24">
        <f t="shared" si="47"/>
        <v>0</v>
      </c>
      <c r="M104" s="24">
        <f t="shared" si="47"/>
        <v>0</v>
      </c>
      <c r="N104" s="24">
        <f t="shared" si="47"/>
        <v>0</v>
      </c>
      <c r="O104" s="24">
        <f t="shared" si="47"/>
        <v>0</v>
      </c>
      <c r="P104" s="24">
        <f t="shared" si="47"/>
        <v>0</v>
      </c>
      <c r="Q104" s="24">
        <f t="shared" si="47"/>
        <v>0</v>
      </c>
      <c r="R104" s="24">
        <f t="shared" si="47"/>
        <v>0</v>
      </c>
      <c r="S104" s="24">
        <f t="shared" si="47"/>
        <v>0</v>
      </c>
      <c r="T104" s="24">
        <f aca="true" t="shared" si="48" ref="T104:AK104">IF(T$17-$D$17&gt;=$E$30,D106,0)</f>
        <v>56</v>
      </c>
      <c r="U104" s="24">
        <f t="shared" si="48"/>
        <v>34</v>
      </c>
      <c r="V104" s="24">
        <f t="shared" si="48"/>
        <v>8</v>
      </c>
      <c r="W104" s="24">
        <f t="shared" si="48"/>
        <v>3</v>
      </c>
      <c r="X104" s="24">
        <f t="shared" si="48"/>
        <v>3</v>
      </c>
      <c r="Y104" s="24">
        <f t="shared" si="48"/>
        <v>2</v>
      </c>
      <c r="Z104" s="24">
        <f t="shared" si="48"/>
        <v>3</v>
      </c>
      <c r="AA104" s="24">
        <f t="shared" si="48"/>
        <v>3</v>
      </c>
      <c r="AB104" s="24">
        <f t="shared" si="48"/>
        <v>3</v>
      </c>
      <c r="AC104" s="24">
        <f t="shared" si="48"/>
        <v>3</v>
      </c>
      <c r="AD104" s="24">
        <f t="shared" si="48"/>
        <v>3</v>
      </c>
      <c r="AE104" s="24">
        <f t="shared" si="48"/>
        <v>4</v>
      </c>
      <c r="AF104" s="24">
        <f t="shared" si="48"/>
        <v>3</v>
      </c>
      <c r="AG104" s="24">
        <f t="shared" si="48"/>
        <v>4</v>
      </c>
      <c r="AH104" s="24">
        <f t="shared" si="48"/>
        <v>3</v>
      </c>
      <c r="AI104" s="24">
        <f t="shared" si="48"/>
        <v>4</v>
      </c>
      <c r="AJ104" s="24">
        <f t="shared" si="48"/>
        <v>59</v>
      </c>
      <c r="AK104" s="24">
        <f t="shared" si="48"/>
        <v>38</v>
      </c>
    </row>
    <row r="105" spans="3:37" ht="12.75">
      <c r="C105" s="3" t="str">
        <f>CONCATENATE("Retirements @ ",E20)</f>
        <v>Retirements @ 0.1</v>
      </c>
      <c r="D105" s="67"/>
      <c r="E105" s="68"/>
      <c r="F105" s="60">
        <f>IF(F17-$D$17=$E$30,D107,0)</f>
        <v>0</v>
      </c>
      <c r="G105" s="24">
        <f aca="true" t="shared" si="49" ref="G105:S105">IF(G17-$D$17=$E$30,E107,0)</f>
        <v>0</v>
      </c>
      <c r="H105" s="24">
        <f t="shared" si="49"/>
        <v>0</v>
      </c>
      <c r="I105" s="24">
        <f t="shared" si="49"/>
        <v>0</v>
      </c>
      <c r="J105" s="24">
        <f t="shared" si="49"/>
        <v>0</v>
      </c>
      <c r="K105" s="24">
        <f t="shared" si="49"/>
        <v>0</v>
      </c>
      <c r="L105" s="24">
        <f t="shared" si="49"/>
        <v>0</v>
      </c>
      <c r="M105" s="24">
        <f t="shared" si="49"/>
        <v>0</v>
      </c>
      <c r="N105" s="24">
        <f t="shared" si="49"/>
        <v>0</v>
      </c>
      <c r="O105" s="24">
        <f t="shared" si="49"/>
        <v>0</v>
      </c>
      <c r="P105" s="24">
        <f t="shared" si="49"/>
        <v>0</v>
      </c>
      <c r="Q105" s="24">
        <f t="shared" si="49"/>
        <v>0</v>
      </c>
      <c r="R105" s="24">
        <f t="shared" si="49"/>
        <v>0</v>
      </c>
      <c r="S105" s="24">
        <f t="shared" si="49"/>
        <v>0</v>
      </c>
      <c r="T105" s="24">
        <f aca="true" t="shared" si="50" ref="T105:AK105">IF(T17-$D$17&gt;=$E$30,D107,0)</f>
        <v>56</v>
      </c>
      <c r="U105" s="24">
        <f t="shared" si="50"/>
        <v>34</v>
      </c>
      <c r="V105" s="24">
        <f t="shared" si="50"/>
        <v>8</v>
      </c>
      <c r="W105" s="24">
        <f t="shared" si="50"/>
        <v>10</v>
      </c>
      <c r="X105" s="24">
        <f t="shared" si="50"/>
        <v>11</v>
      </c>
      <c r="Y105" s="24">
        <f t="shared" si="50"/>
        <v>12</v>
      </c>
      <c r="Z105" s="24">
        <f t="shared" si="50"/>
        <v>13</v>
      </c>
      <c r="AA105" s="24">
        <f t="shared" si="50"/>
        <v>14</v>
      </c>
      <c r="AB105" s="24">
        <f t="shared" si="50"/>
        <v>16</v>
      </c>
      <c r="AC105" s="24">
        <f t="shared" si="50"/>
        <v>17</v>
      </c>
      <c r="AD105" s="24">
        <f t="shared" si="50"/>
        <v>19</v>
      </c>
      <c r="AE105" s="24">
        <f t="shared" si="50"/>
        <v>21</v>
      </c>
      <c r="AF105" s="24">
        <f t="shared" si="50"/>
        <v>23</v>
      </c>
      <c r="AG105" s="24">
        <f t="shared" si="50"/>
        <v>25</v>
      </c>
      <c r="AH105" s="24">
        <f t="shared" si="50"/>
        <v>28</v>
      </c>
      <c r="AI105" s="24">
        <f t="shared" si="50"/>
        <v>31</v>
      </c>
      <c r="AJ105" s="24">
        <f t="shared" si="50"/>
        <v>90</v>
      </c>
      <c r="AK105" s="24">
        <f t="shared" si="50"/>
        <v>71</v>
      </c>
    </row>
    <row r="106" spans="3:37" ht="12.75">
      <c r="C106" s="7" t="str">
        <f>CONCATENATE("Additions, @ ",E19)</f>
        <v>Additions, @ 0.027</v>
      </c>
      <c r="D106" s="35">
        <v>56</v>
      </c>
      <c r="E106" s="24">
        <v>34</v>
      </c>
      <c r="F106" s="61">
        <f>F102-E102+F104</f>
        <v>8</v>
      </c>
      <c r="G106" s="19">
        <f aca="true" t="shared" si="51" ref="G106:AK106">G102-F102+G104</f>
        <v>3</v>
      </c>
      <c r="H106" s="19">
        <f t="shared" si="51"/>
        <v>3</v>
      </c>
      <c r="I106" s="19">
        <f t="shared" si="51"/>
        <v>2</v>
      </c>
      <c r="J106" s="19">
        <f t="shared" si="51"/>
        <v>3</v>
      </c>
      <c r="K106" s="19">
        <f t="shared" si="51"/>
        <v>3</v>
      </c>
      <c r="L106" s="19">
        <f t="shared" si="51"/>
        <v>3</v>
      </c>
      <c r="M106" s="19">
        <f t="shared" si="51"/>
        <v>3</v>
      </c>
      <c r="N106" s="19">
        <f t="shared" si="51"/>
        <v>3</v>
      </c>
      <c r="O106" s="19">
        <f t="shared" si="51"/>
        <v>4</v>
      </c>
      <c r="P106" s="19">
        <f t="shared" si="51"/>
        <v>3</v>
      </c>
      <c r="Q106" s="19">
        <f t="shared" si="51"/>
        <v>4</v>
      </c>
      <c r="R106" s="19">
        <f t="shared" si="51"/>
        <v>3</v>
      </c>
      <c r="S106" s="19">
        <f t="shared" si="51"/>
        <v>4</v>
      </c>
      <c r="T106" s="19">
        <f t="shared" si="51"/>
        <v>59</v>
      </c>
      <c r="U106" s="19">
        <f t="shared" si="51"/>
        <v>38</v>
      </c>
      <c r="V106" s="19">
        <f t="shared" si="51"/>
        <v>12</v>
      </c>
      <c r="W106" s="19">
        <f t="shared" si="51"/>
        <v>7</v>
      </c>
      <c r="X106" s="19">
        <f t="shared" si="51"/>
        <v>7</v>
      </c>
      <c r="Y106" s="19">
        <f t="shared" si="51"/>
        <v>7</v>
      </c>
      <c r="Z106" s="19">
        <f t="shared" si="51"/>
        <v>7</v>
      </c>
      <c r="AA106" s="19">
        <f t="shared" si="51"/>
        <v>8</v>
      </c>
      <c r="AB106" s="19">
        <f t="shared" si="51"/>
        <v>7</v>
      </c>
      <c r="AC106" s="19">
        <f t="shared" si="51"/>
        <v>8</v>
      </c>
      <c r="AD106" s="19">
        <f t="shared" si="51"/>
        <v>8</v>
      </c>
      <c r="AE106" s="19">
        <f t="shared" si="51"/>
        <v>9</v>
      </c>
      <c r="AF106" s="19">
        <f t="shared" si="51"/>
        <v>8</v>
      </c>
      <c r="AG106" s="19">
        <f t="shared" si="51"/>
        <v>9</v>
      </c>
      <c r="AH106" s="19">
        <f t="shared" si="51"/>
        <v>9</v>
      </c>
      <c r="AI106" s="19">
        <f t="shared" si="51"/>
        <v>9</v>
      </c>
      <c r="AJ106" s="19">
        <f t="shared" si="51"/>
        <v>65</v>
      </c>
      <c r="AK106" s="19">
        <f t="shared" si="51"/>
        <v>44</v>
      </c>
    </row>
    <row r="107" spans="3:37" ht="12.75">
      <c r="C107" s="7" t="str">
        <f>CONCATENATE("Additions, @ ",E20)</f>
        <v>Additions, @ 0.1</v>
      </c>
      <c r="D107" s="35">
        <v>56</v>
      </c>
      <c r="E107" s="24">
        <v>34</v>
      </c>
      <c r="F107" s="61">
        <f>F103-E103+F105</f>
        <v>8</v>
      </c>
      <c r="G107" s="19">
        <f aca="true" t="shared" si="52" ref="G107:AK107">G103-F103+G105</f>
        <v>10</v>
      </c>
      <c r="H107" s="19">
        <f t="shared" si="52"/>
        <v>11</v>
      </c>
      <c r="I107" s="19">
        <f t="shared" si="52"/>
        <v>12</v>
      </c>
      <c r="J107" s="19">
        <f t="shared" si="52"/>
        <v>13</v>
      </c>
      <c r="K107" s="19">
        <f t="shared" si="52"/>
        <v>14</v>
      </c>
      <c r="L107" s="19">
        <f t="shared" si="52"/>
        <v>16</v>
      </c>
      <c r="M107" s="19">
        <f t="shared" si="52"/>
        <v>17</v>
      </c>
      <c r="N107" s="19">
        <f t="shared" si="52"/>
        <v>19</v>
      </c>
      <c r="O107" s="19">
        <f t="shared" si="52"/>
        <v>21</v>
      </c>
      <c r="P107" s="19">
        <f t="shared" si="52"/>
        <v>23</v>
      </c>
      <c r="Q107" s="19">
        <f t="shared" si="52"/>
        <v>25</v>
      </c>
      <c r="R107" s="19">
        <f t="shared" si="52"/>
        <v>28</v>
      </c>
      <c r="S107" s="19">
        <f t="shared" si="52"/>
        <v>31</v>
      </c>
      <c r="T107" s="19">
        <f t="shared" si="52"/>
        <v>90</v>
      </c>
      <c r="U107" s="19">
        <f t="shared" si="52"/>
        <v>71</v>
      </c>
      <c r="V107" s="19">
        <f t="shared" si="52"/>
        <v>49</v>
      </c>
      <c r="W107" s="19">
        <f t="shared" si="52"/>
        <v>55</v>
      </c>
      <c r="X107" s="19">
        <f t="shared" si="52"/>
        <v>60</v>
      </c>
      <c r="Y107" s="19">
        <f t="shared" si="52"/>
        <v>66</v>
      </c>
      <c r="Z107" s="19">
        <f t="shared" si="52"/>
        <v>73</v>
      </c>
      <c r="AA107" s="19">
        <f t="shared" si="52"/>
        <v>80</v>
      </c>
      <c r="AB107" s="19">
        <f t="shared" si="52"/>
        <v>88</v>
      </c>
      <c r="AC107" s="19">
        <f t="shared" si="52"/>
        <v>97</v>
      </c>
      <c r="AD107" s="19">
        <f t="shared" si="52"/>
        <v>106</v>
      </c>
      <c r="AE107" s="19">
        <f t="shared" si="52"/>
        <v>118</v>
      </c>
      <c r="AF107" s="19">
        <f t="shared" si="52"/>
        <v>129</v>
      </c>
      <c r="AG107" s="19">
        <f t="shared" si="52"/>
        <v>141</v>
      </c>
      <c r="AH107" s="19">
        <f t="shared" si="52"/>
        <v>156</v>
      </c>
      <c r="AI107" s="19">
        <f t="shared" si="52"/>
        <v>172</v>
      </c>
      <c r="AJ107" s="19">
        <f t="shared" si="52"/>
        <v>245</v>
      </c>
      <c r="AK107" s="19">
        <f t="shared" si="52"/>
        <v>242</v>
      </c>
    </row>
    <row r="108" spans="3:37" ht="12.75">
      <c r="C108" s="3" t="str">
        <f>CONCATENATE("Total Diesel Horsepower @ ",E19)</f>
        <v>Total Diesel Horsepower @ 0.027</v>
      </c>
      <c r="D108" s="36">
        <f>D100*D102</f>
        <v>270000</v>
      </c>
      <c r="E108" s="19">
        <f>E100*E102</f>
        <v>270000</v>
      </c>
      <c r="F108" s="61">
        <f>$F$100*F102</f>
        <v>294000</v>
      </c>
      <c r="G108" s="19">
        <f aca="true" t="shared" si="53" ref="G108:AK108">$F$100*G102</f>
        <v>303000</v>
      </c>
      <c r="H108" s="19">
        <f t="shared" si="53"/>
        <v>312000</v>
      </c>
      <c r="I108" s="19">
        <f t="shared" si="53"/>
        <v>318000</v>
      </c>
      <c r="J108" s="19">
        <f t="shared" si="53"/>
        <v>327000</v>
      </c>
      <c r="K108" s="19">
        <f t="shared" si="53"/>
        <v>336000</v>
      </c>
      <c r="L108" s="19">
        <f t="shared" si="53"/>
        <v>345000</v>
      </c>
      <c r="M108" s="19">
        <f t="shared" si="53"/>
        <v>354000</v>
      </c>
      <c r="N108" s="19">
        <f t="shared" si="53"/>
        <v>363000</v>
      </c>
      <c r="O108" s="19">
        <f t="shared" si="53"/>
        <v>375000</v>
      </c>
      <c r="P108" s="19">
        <f t="shared" si="53"/>
        <v>384000</v>
      </c>
      <c r="Q108" s="19">
        <f t="shared" si="53"/>
        <v>396000</v>
      </c>
      <c r="R108" s="19">
        <f t="shared" si="53"/>
        <v>405000</v>
      </c>
      <c r="S108" s="19">
        <f t="shared" si="53"/>
        <v>417000</v>
      </c>
      <c r="T108" s="19">
        <f t="shared" si="53"/>
        <v>426000</v>
      </c>
      <c r="U108" s="19">
        <f t="shared" si="53"/>
        <v>438000</v>
      </c>
      <c r="V108" s="19">
        <f t="shared" si="53"/>
        <v>450000</v>
      </c>
      <c r="W108" s="19">
        <f t="shared" si="53"/>
        <v>462000</v>
      </c>
      <c r="X108" s="19">
        <f t="shared" si="53"/>
        <v>474000</v>
      </c>
      <c r="Y108" s="19">
        <f t="shared" si="53"/>
        <v>489000</v>
      </c>
      <c r="Z108" s="19">
        <f t="shared" si="53"/>
        <v>501000</v>
      </c>
      <c r="AA108" s="19">
        <f t="shared" si="53"/>
        <v>516000</v>
      </c>
      <c r="AB108" s="19">
        <f t="shared" si="53"/>
        <v>528000</v>
      </c>
      <c r="AC108" s="19">
        <f t="shared" si="53"/>
        <v>543000</v>
      </c>
      <c r="AD108" s="19">
        <f t="shared" si="53"/>
        <v>558000</v>
      </c>
      <c r="AE108" s="19">
        <f t="shared" si="53"/>
        <v>573000</v>
      </c>
      <c r="AF108" s="19">
        <f t="shared" si="53"/>
        <v>588000</v>
      </c>
      <c r="AG108" s="19">
        <f t="shared" si="53"/>
        <v>603000</v>
      </c>
      <c r="AH108" s="19">
        <f t="shared" si="53"/>
        <v>621000</v>
      </c>
      <c r="AI108" s="19">
        <f t="shared" si="53"/>
        <v>636000</v>
      </c>
      <c r="AJ108" s="19">
        <f t="shared" si="53"/>
        <v>654000</v>
      </c>
      <c r="AK108" s="19">
        <f t="shared" si="53"/>
        <v>672000</v>
      </c>
    </row>
    <row r="109" spans="3:37" ht="12.75">
      <c r="C109" s="3" t="str">
        <f>CONCATENATE("Total Diesel Horsepower @ ",E20)</f>
        <v>Total Diesel Horsepower @ 0.1</v>
      </c>
      <c r="D109" s="36">
        <f>D100*D103</f>
        <v>270000</v>
      </c>
      <c r="E109" s="19">
        <f>E100*E103</f>
        <v>270000</v>
      </c>
      <c r="F109" s="61">
        <f>$F$100*F103</f>
        <v>294000</v>
      </c>
      <c r="G109" s="19">
        <f aca="true" t="shared" si="54" ref="G109:AK109">$F$100*G103</f>
        <v>324000</v>
      </c>
      <c r="H109" s="19">
        <f t="shared" si="54"/>
        <v>357000</v>
      </c>
      <c r="I109" s="19">
        <f t="shared" si="54"/>
        <v>393000</v>
      </c>
      <c r="J109" s="19">
        <f t="shared" si="54"/>
        <v>432000</v>
      </c>
      <c r="K109" s="19">
        <f t="shared" si="54"/>
        <v>474000</v>
      </c>
      <c r="L109" s="19">
        <f t="shared" si="54"/>
        <v>522000</v>
      </c>
      <c r="M109" s="19">
        <f t="shared" si="54"/>
        <v>573000</v>
      </c>
      <c r="N109" s="19">
        <f t="shared" si="54"/>
        <v>630000</v>
      </c>
      <c r="O109" s="19">
        <f t="shared" si="54"/>
        <v>693000</v>
      </c>
      <c r="P109" s="19">
        <f t="shared" si="54"/>
        <v>762000</v>
      </c>
      <c r="Q109" s="19">
        <f t="shared" si="54"/>
        <v>837000</v>
      </c>
      <c r="R109" s="19">
        <f t="shared" si="54"/>
        <v>921000</v>
      </c>
      <c r="S109" s="19">
        <f t="shared" si="54"/>
        <v>1014000</v>
      </c>
      <c r="T109" s="19">
        <f t="shared" si="54"/>
        <v>1116000</v>
      </c>
      <c r="U109" s="19">
        <f t="shared" si="54"/>
        <v>1227000</v>
      </c>
      <c r="V109" s="19">
        <f t="shared" si="54"/>
        <v>1350000</v>
      </c>
      <c r="W109" s="19">
        <f t="shared" si="54"/>
        <v>1485000</v>
      </c>
      <c r="X109" s="19">
        <f t="shared" si="54"/>
        <v>1632000</v>
      </c>
      <c r="Y109" s="19">
        <f t="shared" si="54"/>
        <v>1794000</v>
      </c>
      <c r="Z109" s="19">
        <f t="shared" si="54"/>
        <v>1974000</v>
      </c>
      <c r="AA109" s="19">
        <f t="shared" si="54"/>
        <v>2172000</v>
      </c>
      <c r="AB109" s="19">
        <f t="shared" si="54"/>
        <v>2388000</v>
      </c>
      <c r="AC109" s="19">
        <f t="shared" si="54"/>
        <v>2628000</v>
      </c>
      <c r="AD109" s="19">
        <f t="shared" si="54"/>
        <v>2889000</v>
      </c>
      <c r="AE109" s="19">
        <f t="shared" si="54"/>
        <v>3180000</v>
      </c>
      <c r="AF109" s="19">
        <f t="shared" si="54"/>
        <v>3498000</v>
      </c>
      <c r="AG109" s="19">
        <f t="shared" si="54"/>
        <v>3846000</v>
      </c>
      <c r="AH109" s="19">
        <f t="shared" si="54"/>
        <v>4230000</v>
      </c>
      <c r="AI109" s="19">
        <f t="shared" si="54"/>
        <v>4653000</v>
      </c>
      <c r="AJ109" s="19">
        <f t="shared" si="54"/>
        <v>5118000</v>
      </c>
      <c r="AK109" s="19">
        <f t="shared" si="54"/>
        <v>5631000</v>
      </c>
    </row>
    <row r="110" spans="3:37" ht="12.75">
      <c r="C110" s="3" t="s">
        <v>32</v>
      </c>
      <c r="D110" s="56">
        <v>0.84</v>
      </c>
      <c r="E110" s="21">
        <v>0.84</v>
      </c>
      <c r="F110" s="60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</row>
    <row r="111" spans="3:37" ht="12.75">
      <c r="C111" s="3" t="str">
        <f>CONCATENATE("Net Diesel Horsepower @ ",E19)</f>
        <v>Net Diesel Horsepower @ 0.027</v>
      </c>
      <c r="D111" s="36">
        <f>D108*$D$110</f>
        <v>226800</v>
      </c>
      <c r="E111" s="19">
        <f>E108*$D$110</f>
        <v>226800</v>
      </c>
      <c r="F111" s="61">
        <f>F108*$E$110</f>
        <v>246960</v>
      </c>
      <c r="G111" s="19">
        <f aca="true" t="shared" si="55" ref="G111:AK111">G108*$E$110</f>
        <v>254520</v>
      </c>
      <c r="H111" s="19">
        <f t="shared" si="55"/>
        <v>262080</v>
      </c>
      <c r="I111" s="19">
        <f t="shared" si="55"/>
        <v>267120</v>
      </c>
      <c r="J111" s="19">
        <f t="shared" si="55"/>
        <v>274680</v>
      </c>
      <c r="K111" s="19">
        <f t="shared" si="55"/>
        <v>282240</v>
      </c>
      <c r="L111" s="19">
        <f t="shared" si="55"/>
        <v>289800</v>
      </c>
      <c r="M111" s="19">
        <f t="shared" si="55"/>
        <v>297360</v>
      </c>
      <c r="N111" s="19">
        <f t="shared" si="55"/>
        <v>304920</v>
      </c>
      <c r="O111" s="19">
        <f t="shared" si="55"/>
        <v>315000</v>
      </c>
      <c r="P111" s="19">
        <f t="shared" si="55"/>
        <v>322560</v>
      </c>
      <c r="Q111" s="19">
        <f t="shared" si="55"/>
        <v>332640</v>
      </c>
      <c r="R111" s="19">
        <f t="shared" si="55"/>
        <v>340200</v>
      </c>
      <c r="S111" s="19">
        <f t="shared" si="55"/>
        <v>350280</v>
      </c>
      <c r="T111" s="19">
        <f t="shared" si="55"/>
        <v>357840</v>
      </c>
      <c r="U111" s="19">
        <f t="shared" si="55"/>
        <v>367920</v>
      </c>
      <c r="V111" s="19">
        <f t="shared" si="55"/>
        <v>378000</v>
      </c>
      <c r="W111" s="19">
        <f t="shared" si="55"/>
        <v>388080</v>
      </c>
      <c r="X111" s="19">
        <f t="shared" si="55"/>
        <v>398160</v>
      </c>
      <c r="Y111" s="19">
        <f t="shared" si="55"/>
        <v>410760</v>
      </c>
      <c r="Z111" s="19">
        <f t="shared" si="55"/>
        <v>420840</v>
      </c>
      <c r="AA111" s="19">
        <f t="shared" si="55"/>
        <v>433440</v>
      </c>
      <c r="AB111" s="19">
        <f t="shared" si="55"/>
        <v>443520</v>
      </c>
      <c r="AC111" s="19">
        <f t="shared" si="55"/>
        <v>456120</v>
      </c>
      <c r="AD111" s="19">
        <f t="shared" si="55"/>
        <v>468720</v>
      </c>
      <c r="AE111" s="19">
        <f t="shared" si="55"/>
        <v>481320</v>
      </c>
      <c r="AF111" s="19">
        <f t="shared" si="55"/>
        <v>493920</v>
      </c>
      <c r="AG111" s="19">
        <f t="shared" si="55"/>
        <v>506520</v>
      </c>
      <c r="AH111" s="19">
        <f t="shared" si="55"/>
        <v>521640</v>
      </c>
      <c r="AI111" s="19">
        <f t="shared" si="55"/>
        <v>534240</v>
      </c>
      <c r="AJ111" s="19">
        <f t="shared" si="55"/>
        <v>549360</v>
      </c>
      <c r="AK111" s="19">
        <f t="shared" si="55"/>
        <v>564480</v>
      </c>
    </row>
    <row r="112" spans="3:37" ht="12.75">
      <c r="C112" s="3" t="str">
        <f>CONCATENATE("Net Diesel Horsepower @ ",E20)</f>
        <v>Net Diesel Horsepower @ 0.1</v>
      </c>
      <c r="D112" s="36">
        <f>D109*$D$110</f>
        <v>226800</v>
      </c>
      <c r="E112" s="19">
        <f>E109*$D$110</f>
        <v>226800</v>
      </c>
      <c r="F112" s="61">
        <f>F109*$E$110</f>
        <v>246960</v>
      </c>
      <c r="G112" s="19">
        <f aca="true" t="shared" si="56" ref="G112:AK112">G109*$E$110</f>
        <v>272160</v>
      </c>
      <c r="H112" s="19">
        <f t="shared" si="56"/>
        <v>299880</v>
      </c>
      <c r="I112" s="19">
        <f t="shared" si="56"/>
        <v>330120</v>
      </c>
      <c r="J112" s="19">
        <f t="shared" si="56"/>
        <v>362880</v>
      </c>
      <c r="K112" s="19">
        <f t="shared" si="56"/>
        <v>398160</v>
      </c>
      <c r="L112" s="19">
        <f t="shared" si="56"/>
        <v>438480</v>
      </c>
      <c r="M112" s="19">
        <f t="shared" si="56"/>
        <v>481320</v>
      </c>
      <c r="N112" s="19">
        <f t="shared" si="56"/>
        <v>529200</v>
      </c>
      <c r="O112" s="19">
        <f t="shared" si="56"/>
        <v>582120</v>
      </c>
      <c r="P112" s="19">
        <f t="shared" si="56"/>
        <v>640080</v>
      </c>
      <c r="Q112" s="19">
        <f t="shared" si="56"/>
        <v>703080</v>
      </c>
      <c r="R112" s="19">
        <f t="shared" si="56"/>
        <v>773640</v>
      </c>
      <c r="S112" s="19">
        <f t="shared" si="56"/>
        <v>851760</v>
      </c>
      <c r="T112" s="19">
        <f t="shared" si="56"/>
        <v>937440</v>
      </c>
      <c r="U112" s="19">
        <f t="shared" si="56"/>
        <v>1030680</v>
      </c>
      <c r="V112" s="19">
        <f t="shared" si="56"/>
        <v>1134000</v>
      </c>
      <c r="W112" s="19">
        <f t="shared" si="56"/>
        <v>1247400</v>
      </c>
      <c r="X112" s="19">
        <f t="shared" si="56"/>
        <v>1370880</v>
      </c>
      <c r="Y112" s="19">
        <f t="shared" si="56"/>
        <v>1506960</v>
      </c>
      <c r="Z112" s="19">
        <f t="shared" si="56"/>
        <v>1658160</v>
      </c>
      <c r="AA112" s="19">
        <f t="shared" si="56"/>
        <v>1824480</v>
      </c>
      <c r="AB112" s="19">
        <f t="shared" si="56"/>
        <v>2005920</v>
      </c>
      <c r="AC112" s="19">
        <f t="shared" si="56"/>
        <v>2207520</v>
      </c>
      <c r="AD112" s="19">
        <f t="shared" si="56"/>
        <v>2426760</v>
      </c>
      <c r="AE112" s="19">
        <f t="shared" si="56"/>
        <v>2671200</v>
      </c>
      <c r="AF112" s="19">
        <f t="shared" si="56"/>
        <v>2938320</v>
      </c>
      <c r="AG112" s="19">
        <f t="shared" si="56"/>
        <v>3230640</v>
      </c>
      <c r="AH112" s="19">
        <f t="shared" si="56"/>
        <v>3553200</v>
      </c>
      <c r="AI112" s="19">
        <f t="shared" si="56"/>
        <v>3908520</v>
      </c>
      <c r="AJ112" s="19">
        <f t="shared" si="56"/>
        <v>4299120</v>
      </c>
      <c r="AK112" s="19">
        <f t="shared" si="56"/>
        <v>4730040</v>
      </c>
    </row>
    <row r="113" spans="3:37" ht="12.75">
      <c r="C113" s="3" t="s">
        <v>33</v>
      </c>
      <c r="D113" s="36">
        <v>298000</v>
      </c>
      <c r="E113" s="19">
        <v>257600</v>
      </c>
      <c r="F113" s="22">
        <f>$E$113*F24</f>
        <v>257600</v>
      </c>
      <c r="G113" s="18">
        <f aca="true" t="shared" si="57" ref="G113:AK113">$E$113*G24</f>
        <v>270480</v>
      </c>
      <c r="H113" s="18">
        <f t="shared" si="57"/>
        <v>284004</v>
      </c>
      <c r="I113" s="18">
        <f t="shared" si="57"/>
        <v>298204.2</v>
      </c>
      <c r="J113" s="18">
        <f t="shared" si="57"/>
        <v>313114.41000000003</v>
      </c>
      <c r="K113" s="18">
        <f t="shared" si="57"/>
        <v>328770.1305000001</v>
      </c>
      <c r="L113" s="18">
        <f t="shared" si="57"/>
        <v>345208.6370250001</v>
      </c>
      <c r="M113" s="18">
        <f t="shared" si="57"/>
        <v>362469.0688762501</v>
      </c>
      <c r="N113" s="18">
        <f t="shared" si="57"/>
        <v>380592.5223200626</v>
      </c>
      <c r="O113" s="18">
        <f t="shared" si="57"/>
        <v>399622.14843606576</v>
      </c>
      <c r="P113" s="18">
        <f t="shared" si="57"/>
        <v>419603.25585786905</v>
      </c>
      <c r="Q113" s="18">
        <f t="shared" si="57"/>
        <v>440583.4186507625</v>
      </c>
      <c r="R113" s="18">
        <f t="shared" si="57"/>
        <v>462612.58958330064</v>
      </c>
      <c r="S113" s="18">
        <f t="shared" si="57"/>
        <v>485743.2190624657</v>
      </c>
      <c r="T113" s="18">
        <f t="shared" si="57"/>
        <v>510030.380015589</v>
      </c>
      <c r="U113" s="18">
        <f t="shared" si="57"/>
        <v>535531.8990163684</v>
      </c>
      <c r="V113" s="18">
        <f t="shared" si="57"/>
        <v>562308.493967187</v>
      </c>
      <c r="W113" s="18">
        <f t="shared" si="57"/>
        <v>590423.9186655462</v>
      </c>
      <c r="X113" s="18">
        <f t="shared" si="57"/>
        <v>619945.1145988236</v>
      </c>
      <c r="Y113" s="18">
        <f t="shared" si="57"/>
        <v>650942.3703287648</v>
      </c>
      <c r="Z113" s="18">
        <f t="shared" si="57"/>
        <v>683489.488845203</v>
      </c>
      <c r="AA113" s="18">
        <f t="shared" si="57"/>
        <v>717663.9632874631</v>
      </c>
      <c r="AB113" s="18">
        <f t="shared" si="57"/>
        <v>753547.1614518361</v>
      </c>
      <c r="AC113" s="18">
        <f t="shared" si="57"/>
        <v>791224.519524428</v>
      </c>
      <c r="AD113" s="18">
        <f t="shared" si="57"/>
        <v>830785.7455006494</v>
      </c>
      <c r="AE113" s="18">
        <f t="shared" si="57"/>
        <v>872325.0327756819</v>
      </c>
      <c r="AF113" s="18">
        <f t="shared" si="57"/>
        <v>915941.284414466</v>
      </c>
      <c r="AG113" s="18">
        <f t="shared" si="57"/>
        <v>961738.3486351892</v>
      </c>
      <c r="AH113" s="18">
        <f t="shared" si="57"/>
        <v>1009825.2660669488</v>
      </c>
      <c r="AI113" s="18">
        <f t="shared" si="57"/>
        <v>1060316.5293702963</v>
      </c>
      <c r="AJ113" s="18">
        <f t="shared" si="57"/>
        <v>1113332.355838811</v>
      </c>
      <c r="AK113" s="18">
        <f t="shared" si="57"/>
        <v>1168998.9736307517</v>
      </c>
    </row>
    <row r="114" spans="3:37" ht="12.75">
      <c r="C114" s="3" t="s">
        <v>34</v>
      </c>
      <c r="D114" s="35">
        <v>99.33</v>
      </c>
      <c r="E114" s="43">
        <f>E113/E111</f>
        <v>1.1358024691358024</v>
      </c>
      <c r="F114" s="62">
        <f>F113/F111</f>
        <v>1.0430839002267573</v>
      </c>
      <c r="G114" s="43">
        <f aca="true" t="shared" si="58" ref="G114:AK114">G113/G111</f>
        <v>1.0627062706270627</v>
      </c>
      <c r="H114" s="43">
        <f t="shared" si="58"/>
        <v>1.083653846153846</v>
      </c>
      <c r="I114" s="43">
        <f t="shared" si="58"/>
        <v>1.116367924528302</v>
      </c>
      <c r="J114" s="43">
        <f t="shared" si="58"/>
        <v>1.1399243119266056</v>
      </c>
      <c r="K114" s="43">
        <f t="shared" si="58"/>
        <v>1.1648601562500003</v>
      </c>
      <c r="L114" s="43">
        <f t="shared" si="58"/>
        <v>1.1911961250000005</v>
      </c>
      <c r="M114" s="43">
        <f t="shared" si="58"/>
        <v>1.2189570516419497</v>
      </c>
      <c r="N114" s="43">
        <f t="shared" si="58"/>
        <v>1.2481717247804756</v>
      </c>
      <c r="O114" s="43">
        <f t="shared" si="58"/>
        <v>1.2686417410668753</v>
      </c>
      <c r="P114" s="43">
        <f t="shared" si="58"/>
        <v>1.3008533477736515</v>
      </c>
      <c r="Q114" s="43">
        <f t="shared" si="58"/>
        <v>1.3245052268240816</v>
      </c>
      <c r="R114" s="43">
        <f t="shared" si="58"/>
        <v>1.359825366206057</v>
      </c>
      <c r="S114" s="43">
        <f t="shared" si="58"/>
        <v>1.386728386041069</v>
      </c>
      <c r="T114" s="43">
        <f t="shared" si="58"/>
        <v>1.4253028728358736</v>
      </c>
      <c r="U114" s="43">
        <f t="shared" si="58"/>
        <v>1.4555661530125257</v>
      </c>
      <c r="V114" s="43">
        <f t="shared" si="58"/>
        <v>1.4875886083788017</v>
      </c>
      <c r="W114" s="43">
        <f t="shared" si="58"/>
        <v>1.5213974403874104</v>
      </c>
      <c r="X114" s="43">
        <f t="shared" si="58"/>
        <v>1.557025101966103</v>
      </c>
      <c r="Y114" s="43">
        <f t="shared" si="58"/>
        <v>1.584726775559365</v>
      </c>
      <c r="Z114" s="43">
        <f t="shared" si="58"/>
        <v>1.6241077104011097</v>
      </c>
      <c r="AA114" s="43">
        <f t="shared" si="58"/>
        <v>1.6557400408071776</v>
      </c>
      <c r="AB114" s="43">
        <f t="shared" si="58"/>
        <v>1.6990150646010014</v>
      </c>
      <c r="AC114" s="43">
        <f t="shared" si="58"/>
        <v>1.7346849941340612</v>
      </c>
      <c r="AD114" s="43">
        <f t="shared" si="58"/>
        <v>1.7724563609418191</v>
      </c>
      <c r="AE114" s="43">
        <f t="shared" si="58"/>
        <v>1.8123598287535982</v>
      </c>
      <c r="AF114" s="43">
        <f t="shared" si="58"/>
        <v>1.8544324676353783</v>
      </c>
      <c r="AG114" s="43">
        <f t="shared" si="58"/>
        <v>1.8987174220863723</v>
      </c>
      <c r="AH114" s="43">
        <f t="shared" si="58"/>
        <v>1.9358662412141492</v>
      </c>
      <c r="AI114" s="43">
        <f t="shared" si="58"/>
        <v>1.9847194694712045</v>
      </c>
      <c r="AJ114" s="43">
        <f t="shared" si="58"/>
        <v>2.026598871120597</v>
      </c>
      <c r="AK114" s="43">
        <f t="shared" si="58"/>
        <v>2.07093072142636</v>
      </c>
    </row>
    <row r="115" spans="3:37" ht="12.75">
      <c r="C115" s="3" t="str">
        <f>CONCATENATE("Total Cost Diesel Electric Locomotives @ ",E19)</f>
        <v>Total Cost Diesel Electric Locomotives @ 0.027</v>
      </c>
      <c r="D115" s="57">
        <f>D102*$D$113</f>
        <v>26820000</v>
      </c>
      <c r="E115" s="18">
        <f>E102*$E$113</f>
        <v>23184000</v>
      </c>
      <c r="F115" s="22">
        <f>F106*E$113</f>
        <v>2060800</v>
      </c>
      <c r="G115" s="18">
        <f aca="true" t="shared" si="59" ref="G115:AK115">G106*F$113</f>
        <v>772800</v>
      </c>
      <c r="H115" s="18">
        <f t="shared" si="59"/>
        <v>811440</v>
      </c>
      <c r="I115" s="18">
        <f t="shared" si="59"/>
        <v>568008</v>
      </c>
      <c r="J115" s="18">
        <f t="shared" si="59"/>
        <v>894612.6000000001</v>
      </c>
      <c r="K115" s="18">
        <f t="shared" si="59"/>
        <v>939343.2300000001</v>
      </c>
      <c r="L115" s="18">
        <f t="shared" si="59"/>
        <v>986310.3915000003</v>
      </c>
      <c r="M115" s="18">
        <f t="shared" si="59"/>
        <v>1035625.9110750004</v>
      </c>
      <c r="N115" s="18">
        <f t="shared" si="59"/>
        <v>1087407.2066287503</v>
      </c>
      <c r="O115" s="18">
        <f t="shared" si="59"/>
        <v>1522370.0892802505</v>
      </c>
      <c r="P115" s="18">
        <f t="shared" si="59"/>
        <v>1198866.4453081973</v>
      </c>
      <c r="Q115" s="18">
        <f t="shared" si="59"/>
        <v>1678413.0234314762</v>
      </c>
      <c r="R115" s="18">
        <f t="shared" si="59"/>
        <v>1321750.2559522875</v>
      </c>
      <c r="S115" s="18">
        <f t="shared" si="59"/>
        <v>1850450.3583332025</v>
      </c>
      <c r="T115" s="18">
        <f t="shared" si="59"/>
        <v>28658849.92468548</v>
      </c>
      <c r="U115" s="18">
        <f t="shared" si="59"/>
        <v>19381154.440592382</v>
      </c>
      <c r="V115" s="18">
        <f t="shared" si="59"/>
        <v>6426382.788196421</v>
      </c>
      <c r="W115" s="18">
        <f t="shared" si="59"/>
        <v>3936159.457770309</v>
      </c>
      <c r="X115" s="18">
        <f t="shared" si="59"/>
        <v>4132967.430658824</v>
      </c>
      <c r="Y115" s="18">
        <f t="shared" si="59"/>
        <v>4339615.802191765</v>
      </c>
      <c r="Z115" s="18">
        <f t="shared" si="59"/>
        <v>4556596.592301354</v>
      </c>
      <c r="AA115" s="18">
        <f t="shared" si="59"/>
        <v>5467915.910761624</v>
      </c>
      <c r="AB115" s="18">
        <f t="shared" si="59"/>
        <v>5023647.743012241</v>
      </c>
      <c r="AC115" s="18">
        <f t="shared" si="59"/>
        <v>6028377.291614689</v>
      </c>
      <c r="AD115" s="18">
        <f t="shared" si="59"/>
        <v>6329796.156195424</v>
      </c>
      <c r="AE115" s="18">
        <f t="shared" si="59"/>
        <v>7477071.709505845</v>
      </c>
      <c r="AF115" s="18">
        <f t="shared" si="59"/>
        <v>6978600.262205455</v>
      </c>
      <c r="AG115" s="18">
        <f t="shared" si="59"/>
        <v>8243471.5597301945</v>
      </c>
      <c r="AH115" s="18">
        <f t="shared" si="59"/>
        <v>8655645.137716703</v>
      </c>
      <c r="AI115" s="18">
        <f t="shared" si="59"/>
        <v>9088427.394602539</v>
      </c>
      <c r="AJ115" s="18">
        <f t="shared" si="59"/>
        <v>68920574.40906925</v>
      </c>
      <c r="AK115" s="18">
        <f t="shared" si="59"/>
        <v>48986623.656907685</v>
      </c>
    </row>
    <row r="116" spans="3:37" ht="12.75">
      <c r="C116" s="3" t="str">
        <f>CONCATENATE("Total Cost Diesel Electric Locomotives @ ",E20)</f>
        <v>Total Cost Diesel Electric Locomotives @ 0.1</v>
      </c>
      <c r="D116" s="57">
        <f>D103*$D$113</f>
        <v>26820000</v>
      </c>
      <c r="E116" s="18">
        <f>E103*$E$113</f>
        <v>23184000</v>
      </c>
      <c r="F116" s="18">
        <f>F107*E$113</f>
        <v>2060800</v>
      </c>
      <c r="G116" s="18">
        <f aca="true" t="shared" si="60" ref="G116:AJ116">G107*F$113</f>
        <v>2576000</v>
      </c>
      <c r="H116" s="18">
        <f t="shared" si="60"/>
        <v>2975280</v>
      </c>
      <c r="I116" s="18">
        <f t="shared" si="60"/>
        <v>3408048</v>
      </c>
      <c r="J116" s="18">
        <f t="shared" si="60"/>
        <v>3876654.6</v>
      </c>
      <c r="K116" s="18">
        <f t="shared" si="60"/>
        <v>4383601.74</v>
      </c>
      <c r="L116" s="18">
        <f t="shared" si="60"/>
        <v>5260322.088000001</v>
      </c>
      <c r="M116" s="18">
        <f t="shared" si="60"/>
        <v>5868546.829425002</v>
      </c>
      <c r="N116" s="18">
        <f t="shared" si="60"/>
        <v>6886912.308648752</v>
      </c>
      <c r="O116" s="18">
        <f t="shared" si="60"/>
        <v>7992442.968721315</v>
      </c>
      <c r="P116" s="18">
        <f t="shared" si="60"/>
        <v>9191309.414029513</v>
      </c>
      <c r="Q116" s="18">
        <f t="shared" si="60"/>
        <v>10490081.396446727</v>
      </c>
      <c r="R116" s="18">
        <f t="shared" si="60"/>
        <v>12336335.72222135</v>
      </c>
      <c r="S116" s="18">
        <f t="shared" si="60"/>
        <v>14340990.27708232</v>
      </c>
      <c r="T116" s="18">
        <f t="shared" si="60"/>
        <v>43716889.71562191</v>
      </c>
      <c r="U116" s="18">
        <f t="shared" si="60"/>
        <v>36212156.98110682</v>
      </c>
      <c r="V116" s="18">
        <f t="shared" si="60"/>
        <v>26241063.051802054</v>
      </c>
      <c r="W116" s="18">
        <f t="shared" si="60"/>
        <v>30926967.168195285</v>
      </c>
      <c r="X116" s="18">
        <f t="shared" si="60"/>
        <v>35425435.11993277</v>
      </c>
      <c r="Y116" s="18">
        <f t="shared" si="60"/>
        <v>40916377.563522354</v>
      </c>
      <c r="Z116" s="18">
        <f t="shared" si="60"/>
        <v>47518793.03399983</v>
      </c>
      <c r="AA116" s="18">
        <f t="shared" si="60"/>
        <v>54679159.10761624</v>
      </c>
      <c r="AB116" s="18">
        <f t="shared" si="60"/>
        <v>63154428.76929675</v>
      </c>
      <c r="AC116" s="18">
        <f t="shared" si="60"/>
        <v>73094074.6608281</v>
      </c>
      <c r="AD116" s="18">
        <f t="shared" si="60"/>
        <v>83869799.06958936</v>
      </c>
      <c r="AE116" s="18">
        <f t="shared" si="60"/>
        <v>98032717.96907663</v>
      </c>
      <c r="AF116" s="18">
        <f t="shared" si="60"/>
        <v>112529929.22806297</v>
      </c>
      <c r="AG116" s="18">
        <f t="shared" si="60"/>
        <v>129147721.1024397</v>
      </c>
      <c r="AH116" s="18">
        <f t="shared" si="60"/>
        <v>150031182.38708952</v>
      </c>
      <c r="AI116" s="18">
        <f t="shared" si="60"/>
        <v>173689945.76351517</v>
      </c>
      <c r="AJ116" s="18">
        <f t="shared" si="60"/>
        <v>259777549.69572258</v>
      </c>
      <c r="AK116" s="18">
        <f>AK107*AJ$113</f>
        <v>269426430.1129923</v>
      </c>
    </row>
    <row r="117" spans="3:37" ht="12.75">
      <c r="C117" s="3" t="str">
        <f>CONCATENATE("NPV, Total Diesel-Electric Costs @ ",E19)</f>
        <v>NPV, Total Diesel-Electric Costs @ 0.027</v>
      </c>
      <c r="D117" s="57"/>
      <c r="E117" s="18">
        <f>NPV(E21,E115:AK115)</f>
        <v>43396481.041662395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</row>
    <row r="118" spans="3:37" ht="12.75">
      <c r="C118" s="3" t="str">
        <f>CONCATENATE("NPV, Total Diesel-Electric Costs @ ",E20)</f>
        <v>NPV, Total Diesel-Electric Costs @ 0.1</v>
      </c>
      <c r="D118" s="57"/>
      <c r="E118" s="18">
        <f>NPV(E21,E116:AK116)</f>
        <v>135940460.45978045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</row>
    <row r="119" spans="3:37" ht="12.75">
      <c r="C119" s="3" t="s">
        <v>20</v>
      </c>
      <c r="D119" s="58">
        <f>D30</f>
        <v>15</v>
      </c>
      <c r="E119" s="23">
        <f>E30</f>
        <v>15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3:37" ht="12.75">
      <c r="C120" s="3" t="str">
        <f>CONCATENATE("Lease Increase @ ",E19)</f>
        <v>Lease Increase @ 0.027</v>
      </c>
      <c r="D120" s="74"/>
      <c r="E120" s="75"/>
      <c r="F120" s="63">
        <f>-PMT($E$22,$E$30,F115,F115*0.1,1)</f>
        <v>240990.27513975685</v>
      </c>
      <c r="G120" s="27">
        <f aca="true" t="shared" si="61" ref="G120:AK120">-PMT($E$22,$E$30,G115,G115*0.1,1)</f>
        <v>90371.3531774088</v>
      </c>
      <c r="H120" s="27">
        <f t="shared" si="61"/>
        <v>94889.92083627924</v>
      </c>
      <c r="I120" s="27">
        <f t="shared" si="61"/>
        <v>66422.94458539548</v>
      </c>
      <c r="J120" s="27">
        <f t="shared" si="61"/>
        <v>104616.13772199787</v>
      </c>
      <c r="K120" s="27">
        <f t="shared" si="61"/>
        <v>109846.94460809778</v>
      </c>
      <c r="L120" s="27">
        <f t="shared" si="61"/>
        <v>115339.29183850267</v>
      </c>
      <c r="M120" s="27">
        <f t="shared" si="61"/>
        <v>121106.25643042785</v>
      </c>
      <c r="N120" s="27">
        <f t="shared" si="61"/>
        <v>127161.56925194921</v>
      </c>
      <c r="O120" s="27">
        <f t="shared" si="61"/>
        <v>178026.1969527289</v>
      </c>
      <c r="P120" s="27">
        <f t="shared" si="61"/>
        <v>140195.63010027402</v>
      </c>
      <c r="Q120" s="27">
        <f t="shared" si="61"/>
        <v>196273.88214038362</v>
      </c>
      <c r="R120" s="27">
        <f t="shared" si="61"/>
        <v>154565.68218555208</v>
      </c>
      <c r="S120" s="27">
        <f t="shared" si="61"/>
        <v>216391.95505977297</v>
      </c>
      <c r="T120" s="27">
        <f t="shared" si="61"/>
        <v>3351370.403988234</v>
      </c>
      <c r="U120" s="27">
        <f t="shared" si="61"/>
        <v>2266435.2393072974</v>
      </c>
      <c r="V120" s="27">
        <f t="shared" si="61"/>
        <v>751502.210928209</v>
      </c>
      <c r="W120" s="27">
        <f t="shared" si="61"/>
        <v>460295.1041935282</v>
      </c>
      <c r="X120" s="27">
        <f t="shared" si="61"/>
        <v>483309.8594032045</v>
      </c>
      <c r="Y120" s="27">
        <f t="shared" si="61"/>
        <v>507475.35237336473</v>
      </c>
      <c r="Z120" s="27">
        <f t="shared" si="61"/>
        <v>532849.119992033</v>
      </c>
      <c r="AA120" s="27">
        <f t="shared" si="61"/>
        <v>639418.9439904395</v>
      </c>
      <c r="AB120" s="27">
        <f t="shared" si="61"/>
        <v>587466.1547912162</v>
      </c>
      <c r="AC120" s="27">
        <f t="shared" si="61"/>
        <v>704959.3857494594</v>
      </c>
      <c r="AD120" s="27">
        <f t="shared" si="61"/>
        <v>740207.3550369324</v>
      </c>
      <c r="AE120" s="27">
        <f t="shared" si="61"/>
        <v>874369.9381373764</v>
      </c>
      <c r="AF120" s="27">
        <f t="shared" si="61"/>
        <v>816078.6089282181</v>
      </c>
      <c r="AG120" s="27">
        <f t="shared" si="61"/>
        <v>963992.8567964577</v>
      </c>
      <c r="AH120" s="27">
        <f t="shared" si="61"/>
        <v>1012192.4996362805</v>
      </c>
      <c r="AI120" s="27">
        <f t="shared" si="61"/>
        <v>1062802.1246180946</v>
      </c>
      <c r="AJ120" s="27">
        <f t="shared" si="61"/>
        <v>8059582.778353883</v>
      </c>
      <c r="AK120" s="27">
        <f t="shared" si="61"/>
        <v>5728503.451691529</v>
      </c>
    </row>
    <row r="121" spans="3:37" ht="12.75">
      <c r="C121" s="3" t="str">
        <f>CONCATENATE("Lease Increase @ ",E20)</f>
        <v>Lease Increase @ 0.1</v>
      </c>
      <c r="D121" s="74"/>
      <c r="E121" s="75"/>
      <c r="F121" s="63">
        <f>-PMT($E$22,$E$30,F116,F116*0.1,1)</f>
        <v>240990.27513975685</v>
      </c>
      <c r="G121" s="27">
        <f aca="true" t="shared" si="62" ref="G121:AK121">-PMT($E$22,$E$30,G116,G116*0.1,1)</f>
        <v>301237.84392469603</v>
      </c>
      <c r="H121" s="27">
        <f t="shared" si="62"/>
        <v>347929.7097330239</v>
      </c>
      <c r="I121" s="27">
        <f t="shared" si="62"/>
        <v>398537.66751237283</v>
      </c>
      <c r="J121" s="27">
        <f t="shared" si="62"/>
        <v>453336.5967953242</v>
      </c>
      <c r="K121" s="27">
        <f t="shared" si="62"/>
        <v>512619.0748377896</v>
      </c>
      <c r="L121" s="27">
        <f t="shared" si="62"/>
        <v>615142.8898053477</v>
      </c>
      <c r="M121" s="27">
        <f t="shared" si="62"/>
        <v>686268.7864390912</v>
      </c>
      <c r="N121" s="27">
        <f t="shared" si="62"/>
        <v>805356.605262345</v>
      </c>
      <c r="O121" s="27">
        <f t="shared" si="62"/>
        <v>934637.5340018268</v>
      </c>
      <c r="P121" s="27">
        <f t="shared" si="62"/>
        <v>1074833.1641021008</v>
      </c>
      <c r="Q121" s="27">
        <f t="shared" si="62"/>
        <v>1226711.7633773978</v>
      </c>
      <c r="R121" s="27">
        <f t="shared" si="62"/>
        <v>1442613.0337318196</v>
      </c>
      <c r="S121" s="27">
        <f t="shared" si="62"/>
        <v>1677037.6517132404</v>
      </c>
      <c r="T121" s="27">
        <f t="shared" si="62"/>
        <v>5112259.938287136</v>
      </c>
      <c r="U121" s="27">
        <f t="shared" si="62"/>
        <v>4234655.315547844</v>
      </c>
      <c r="V121" s="27">
        <f t="shared" si="62"/>
        <v>3068634.0279568536</v>
      </c>
      <c r="W121" s="27">
        <f t="shared" si="62"/>
        <v>3616604.3900920074</v>
      </c>
      <c r="X121" s="27">
        <f t="shared" si="62"/>
        <v>4142655.937741752</v>
      </c>
      <c r="Y121" s="27">
        <f t="shared" si="62"/>
        <v>4784767.608091724</v>
      </c>
      <c r="Z121" s="27">
        <f t="shared" si="62"/>
        <v>5556855.108488344</v>
      </c>
      <c r="AA121" s="27">
        <f t="shared" si="62"/>
        <v>6394189.439904395</v>
      </c>
      <c r="AB121" s="27">
        <f t="shared" si="62"/>
        <v>7385288.803089576</v>
      </c>
      <c r="AC121" s="27">
        <f t="shared" si="62"/>
        <v>8547632.552212195</v>
      </c>
      <c r="AD121" s="27">
        <f t="shared" si="62"/>
        <v>9807747.454239354</v>
      </c>
      <c r="AE121" s="27">
        <f t="shared" si="62"/>
        <v>11463961.41113449</v>
      </c>
      <c r="AF121" s="27">
        <f t="shared" si="62"/>
        <v>13159267.568967516</v>
      </c>
      <c r="AG121" s="27">
        <f t="shared" si="62"/>
        <v>15102554.756477837</v>
      </c>
      <c r="AH121" s="27">
        <f t="shared" si="62"/>
        <v>17544669.993695527</v>
      </c>
      <c r="AI121" s="27">
        <f t="shared" si="62"/>
        <v>20311329.492701363</v>
      </c>
      <c r="AJ121" s="27">
        <f t="shared" si="62"/>
        <v>30378427.39533387</v>
      </c>
      <c r="AK121" s="27">
        <f t="shared" si="62"/>
        <v>31506768.984303415</v>
      </c>
    </row>
    <row r="122" spans="3:37" ht="12.75">
      <c r="C122" s="3" t="str">
        <f>CONCATENATE("Diesel-Electric Lease Charge @ ",E19)</f>
        <v>Diesel-Electric Lease Charge @ 0.027</v>
      </c>
      <c r="D122" s="59">
        <v>2800000</v>
      </c>
      <c r="E122" s="27">
        <v>2800000</v>
      </c>
      <c r="F122" s="63">
        <f aca="true" t="shared" si="63" ref="F122:S122">E122-PMT($E$22,$E$30,F115,F115*0.1,1)</f>
        <v>3040990.275139757</v>
      </c>
      <c r="G122" s="27">
        <f t="shared" si="63"/>
        <v>3131361.6283171657</v>
      </c>
      <c r="H122" s="27">
        <f t="shared" si="63"/>
        <v>3226251.549153445</v>
      </c>
      <c r="I122" s="27">
        <f t="shared" si="63"/>
        <v>3292674.4937388403</v>
      </c>
      <c r="J122" s="27">
        <f t="shared" si="63"/>
        <v>3397290.631460838</v>
      </c>
      <c r="K122" s="27">
        <f t="shared" si="63"/>
        <v>3507137.576068936</v>
      </c>
      <c r="L122" s="27">
        <f t="shared" si="63"/>
        <v>3622476.8679074384</v>
      </c>
      <c r="M122" s="27">
        <f t="shared" si="63"/>
        <v>3743583.1243378664</v>
      </c>
      <c r="N122" s="27">
        <f t="shared" si="63"/>
        <v>3870744.693589816</v>
      </c>
      <c r="O122" s="27">
        <f t="shared" si="63"/>
        <v>4048770.890542545</v>
      </c>
      <c r="P122" s="27">
        <f t="shared" si="63"/>
        <v>4188966.520642819</v>
      </c>
      <c r="Q122" s="27">
        <f t="shared" si="63"/>
        <v>4385240.402783203</v>
      </c>
      <c r="R122" s="27">
        <f t="shared" si="63"/>
        <v>4539806.084968755</v>
      </c>
      <c r="S122" s="27">
        <f t="shared" si="63"/>
        <v>4756198.040028528</v>
      </c>
      <c r="T122" s="27">
        <f>S122-PMT($E$22,$E$30,T115,T115*0.1,1)-E122</f>
        <v>5307568.444016762</v>
      </c>
      <c r="U122" s="27">
        <f aca="true" t="shared" si="64" ref="U122:AD123">T122-PMT($E$22,$E$30,U115,U115*0.1,1)-F120</f>
        <v>7333013.408184303</v>
      </c>
      <c r="V122" s="27">
        <f t="shared" si="64"/>
        <v>7994144.265935103</v>
      </c>
      <c r="W122" s="27">
        <f t="shared" si="64"/>
        <v>8359549.449292352</v>
      </c>
      <c r="X122" s="27">
        <f t="shared" si="64"/>
        <v>8776436.36411016</v>
      </c>
      <c r="Y122" s="27">
        <f t="shared" si="64"/>
        <v>9179295.578761527</v>
      </c>
      <c r="Z122" s="27">
        <f t="shared" si="64"/>
        <v>9602297.754145462</v>
      </c>
      <c r="AA122" s="27">
        <f t="shared" si="64"/>
        <v>10126377.406297399</v>
      </c>
      <c r="AB122" s="27">
        <f t="shared" si="64"/>
        <v>10592737.304658186</v>
      </c>
      <c r="AC122" s="27">
        <f t="shared" si="64"/>
        <v>11170535.121155696</v>
      </c>
      <c r="AD122" s="27">
        <f t="shared" si="64"/>
        <v>11732716.2792399</v>
      </c>
      <c r="AE122" s="27">
        <f aca="true" t="shared" si="65" ref="AE122:AK123">AD122-PMT($E$22,$E$30,AE115,AE115*0.1,1)-P120</f>
        <v>12466890.587277003</v>
      </c>
      <c r="AF122" s="27">
        <f t="shared" si="65"/>
        <v>13086695.314064838</v>
      </c>
      <c r="AG122" s="27">
        <f t="shared" si="65"/>
        <v>13896122.488675743</v>
      </c>
      <c r="AH122" s="27">
        <f t="shared" si="65"/>
        <v>14691923.033252252</v>
      </c>
      <c r="AI122" s="27">
        <f t="shared" si="65"/>
        <v>12403354.753882114</v>
      </c>
      <c r="AJ122" s="27">
        <f t="shared" si="65"/>
        <v>18196502.292928696</v>
      </c>
      <c r="AK122" s="27">
        <f t="shared" si="65"/>
        <v>23173503.533692017</v>
      </c>
    </row>
    <row r="123" spans="3:37" ht="12.75">
      <c r="C123" s="3" t="str">
        <f>CONCATENATE("Diesel-Electric Lease Charge @ ",E20)</f>
        <v>Diesel-Electric Lease Charge @ 0.1</v>
      </c>
      <c r="D123" s="59">
        <v>2800000</v>
      </c>
      <c r="E123" s="27">
        <v>2800000</v>
      </c>
      <c r="F123" s="63">
        <f aca="true" t="shared" si="66" ref="F123:S123">E123-PMT($E$22,$E$30,F116,F116*0.1,1)</f>
        <v>3040990.275139757</v>
      </c>
      <c r="G123" s="27">
        <f t="shared" si="66"/>
        <v>3342228.119064453</v>
      </c>
      <c r="H123" s="27">
        <f t="shared" si="66"/>
        <v>3690157.828797477</v>
      </c>
      <c r="I123" s="27">
        <f t="shared" si="66"/>
        <v>4088695.4963098494</v>
      </c>
      <c r="J123" s="27">
        <f t="shared" si="66"/>
        <v>4542032.093105174</v>
      </c>
      <c r="K123" s="27">
        <f t="shared" si="66"/>
        <v>5054651.167942964</v>
      </c>
      <c r="L123" s="27">
        <f t="shared" si="66"/>
        <v>5669794.057748311</v>
      </c>
      <c r="M123" s="27">
        <f t="shared" si="66"/>
        <v>6356062.844187402</v>
      </c>
      <c r="N123" s="27">
        <f t="shared" si="66"/>
        <v>7161419.449449747</v>
      </c>
      <c r="O123" s="27">
        <f t="shared" si="66"/>
        <v>8096056.983451573</v>
      </c>
      <c r="P123" s="27">
        <f t="shared" si="66"/>
        <v>9170890.147553675</v>
      </c>
      <c r="Q123" s="27">
        <f t="shared" si="66"/>
        <v>10397601.910931073</v>
      </c>
      <c r="R123" s="27">
        <f t="shared" si="66"/>
        <v>11840214.944662893</v>
      </c>
      <c r="S123" s="27">
        <f t="shared" si="66"/>
        <v>13517252.596376134</v>
      </c>
      <c r="T123" s="27">
        <f>S123-PMT($E$22,$E$30,T116,T116*0.1,1)-E123</f>
        <v>15829512.534663271</v>
      </c>
      <c r="U123" s="27">
        <f t="shared" si="64"/>
        <v>19823177.575071357</v>
      </c>
      <c r="V123" s="27">
        <f t="shared" si="64"/>
        <v>22590573.759103514</v>
      </c>
      <c r="W123" s="27">
        <f t="shared" si="64"/>
        <v>25859248.439462498</v>
      </c>
      <c r="X123" s="27">
        <f t="shared" si="64"/>
        <v>29603366.70969188</v>
      </c>
      <c r="Y123" s="27">
        <f t="shared" si="64"/>
        <v>33934797.72098828</v>
      </c>
      <c r="Z123" s="27">
        <f t="shared" si="64"/>
        <v>38979033.754638836</v>
      </c>
      <c r="AA123" s="27">
        <f t="shared" si="64"/>
        <v>44758080.30473788</v>
      </c>
      <c r="AB123" s="27">
        <f t="shared" si="64"/>
        <v>51457100.321388364</v>
      </c>
      <c r="AC123" s="27">
        <f t="shared" si="64"/>
        <v>59199376.26833821</v>
      </c>
      <c r="AD123" s="27">
        <f t="shared" si="64"/>
        <v>68072486.18857574</v>
      </c>
      <c r="AE123" s="27">
        <f t="shared" si="65"/>
        <v>78461614.43560813</v>
      </c>
      <c r="AF123" s="27">
        <f t="shared" si="65"/>
        <v>90394170.24119826</v>
      </c>
      <c r="AG123" s="27">
        <f t="shared" si="65"/>
        <v>104054111.96394427</v>
      </c>
      <c r="AH123" s="27">
        <f t="shared" si="65"/>
        <v>119921744.30592656</v>
      </c>
      <c r="AI123" s="27">
        <f t="shared" si="65"/>
        <v>135120813.86034077</v>
      </c>
      <c r="AJ123" s="27">
        <f t="shared" si="65"/>
        <v>161264585.9401268</v>
      </c>
      <c r="AK123" s="27">
        <f t="shared" si="65"/>
        <v>189702720.89647338</v>
      </c>
    </row>
    <row r="124" spans="3:37" ht="12.75">
      <c r="C124" s="7" t="str">
        <f>CONCATENATE("Maint. Per MGTM -- Diesel Electric @",E19)</f>
        <v>Maint. Per MGTM -- Diesel Electric @0.027</v>
      </c>
      <c r="D124" s="35">
        <v>0.0348</v>
      </c>
      <c r="E124" s="24">
        <v>0.0348</v>
      </c>
      <c r="F124" s="22">
        <f>$E$124*F19*F$24</f>
        <v>255150.62773199996</v>
      </c>
      <c r="G124" s="18">
        <f aca="true" t="shared" si="67" ref="G124:AK124">$E$124*G19*G$24</f>
        <v>275141.67941480223</v>
      </c>
      <c r="H124" s="18">
        <f t="shared" si="67"/>
        <v>296699.0299969519</v>
      </c>
      <c r="I124" s="18">
        <f t="shared" si="67"/>
        <v>319945.3989972131</v>
      </c>
      <c r="J124" s="18">
        <f t="shared" si="67"/>
        <v>345013.12100864487</v>
      </c>
      <c r="K124" s="18">
        <f t="shared" si="67"/>
        <v>372044.89903967216</v>
      </c>
      <c r="L124" s="18">
        <f t="shared" si="67"/>
        <v>401194.61687943054</v>
      </c>
      <c r="M124" s="18">
        <f t="shared" si="67"/>
        <v>432628.2151119339</v>
      </c>
      <c r="N124" s="18">
        <f t="shared" si="67"/>
        <v>466524.6357659539</v>
      </c>
      <c r="O124" s="18">
        <f t="shared" si="67"/>
        <v>503076.84097821644</v>
      </c>
      <c r="P124" s="18">
        <f t="shared" si="67"/>
        <v>542492.9114688595</v>
      </c>
      <c r="Q124" s="18">
        <f t="shared" si="67"/>
        <v>584997.2310824447</v>
      </c>
      <c r="R124" s="18">
        <f t="shared" si="67"/>
        <v>630831.7641377542</v>
      </c>
      <c r="S124" s="18">
        <f t="shared" si="67"/>
        <v>680257.4328579474</v>
      </c>
      <c r="T124" s="18">
        <f t="shared" si="67"/>
        <v>733555.6027223676</v>
      </c>
      <c r="U124" s="18">
        <f t="shared" si="67"/>
        <v>791029.6841956652</v>
      </c>
      <c r="V124" s="18">
        <f t="shared" si="67"/>
        <v>853006.8599523955</v>
      </c>
      <c r="W124" s="18">
        <f t="shared" si="67"/>
        <v>919839.9474296657</v>
      </c>
      <c r="X124" s="18">
        <f t="shared" si="67"/>
        <v>991909.4073107799</v>
      </c>
      <c r="Y124" s="18">
        <f t="shared" si="67"/>
        <v>1069625.5093735794</v>
      </c>
      <c r="Z124" s="18">
        <f t="shared" si="67"/>
        <v>1153430.6680329994</v>
      </c>
      <c r="AA124" s="18">
        <f t="shared" si="67"/>
        <v>1243801.9608733847</v>
      </c>
      <c r="AB124" s="18">
        <f t="shared" si="67"/>
        <v>1341253.8445078144</v>
      </c>
      <c r="AC124" s="18">
        <f t="shared" si="67"/>
        <v>1446341.0832250016</v>
      </c>
      <c r="AD124" s="18">
        <f t="shared" si="67"/>
        <v>1559661.9070956805</v>
      </c>
      <c r="AE124" s="18">
        <f t="shared" si="67"/>
        <v>1681861.417516627</v>
      </c>
      <c r="AF124" s="18">
        <f t="shared" si="67"/>
        <v>1813635.2595790548</v>
      </c>
      <c r="AG124" s="18">
        <f t="shared" si="67"/>
        <v>1955733.5821670734</v>
      </c>
      <c r="AH124" s="18">
        <f t="shared" si="67"/>
        <v>2108965.308329864</v>
      </c>
      <c r="AI124" s="18">
        <f t="shared" si="67"/>
        <v>2274202.740237509</v>
      </c>
      <c r="AJ124" s="18">
        <f t="shared" si="67"/>
        <v>2452386.524935118</v>
      </c>
      <c r="AK124" s="18">
        <f t="shared" si="67"/>
        <v>2644531.0091637843</v>
      </c>
    </row>
    <row r="125" spans="3:37" ht="12.75">
      <c r="C125" s="7" t="str">
        <f>CONCATENATE("Maint. Per MGTM -- Diesel Electric @",E20)</f>
        <v>Maint. Per MGTM -- Diesel Electric @0.1</v>
      </c>
      <c r="D125" s="35">
        <v>0.0348</v>
      </c>
      <c r="E125" s="24">
        <v>0.0348</v>
      </c>
      <c r="F125" s="22">
        <f>$E$124*F20*F$24</f>
        <v>255150.62773199996</v>
      </c>
      <c r="G125" s="18">
        <f aca="true" t="shared" si="68" ref="G125:AK125">$E$124*G20*G$24</f>
        <v>294698.97503046</v>
      </c>
      <c r="H125" s="18">
        <f t="shared" si="68"/>
        <v>340377.31616018125</v>
      </c>
      <c r="I125" s="18">
        <f t="shared" si="68"/>
        <v>393135.8001650094</v>
      </c>
      <c r="J125" s="18">
        <f t="shared" si="68"/>
        <v>454071.84919058584</v>
      </c>
      <c r="K125" s="18">
        <f t="shared" si="68"/>
        <v>524452.9858151267</v>
      </c>
      <c r="L125" s="18">
        <f t="shared" si="68"/>
        <v>605743.1986164714</v>
      </c>
      <c r="M125" s="18">
        <f t="shared" si="68"/>
        <v>699633.3944020245</v>
      </c>
      <c r="N125" s="18">
        <f t="shared" si="68"/>
        <v>808076.5705343384</v>
      </c>
      <c r="O125" s="18">
        <f t="shared" si="68"/>
        <v>933328.4389671606</v>
      </c>
      <c r="P125" s="18">
        <f t="shared" si="68"/>
        <v>1077994.3470070707</v>
      </c>
      <c r="Q125" s="18">
        <f t="shared" si="68"/>
        <v>1245083.4707931667</v>
      </c>
      <c r="R125" s="18">
        <f t="shared" si="68"/>
        <v>1438071.4087661074</v>
      </c>
      <c r="S125" s="18">
        <f t="shared" si="68"/>
        <v>1660972.4771248542</v>
      </c>
      <c r="T125" s="18">
        <f t="shared" si="68"/>
        <v>1918423.2110792063</v>
      </c>
      <c r="U125" s="18">
        <f t="shared" si="68"/>
        <v>2215778.8087964836</v>
      </c>
      <c r="V125" s="18">
        <f t="shared" si="68"/>
        <v>2559224.524159939</v>
      </c>
      <c r="W125" s="18">
        <f t="shared" si="68"/>
        <v>2955904.325404729</v>
      </c>
      <c r="X125" s="18">
        <f t="shared" si="68"/>
        <v>3414069.495842462</v>
      </c>
      <c r="Y125" s="18">
        <f t="shared" si="68"/>
        <v>3943250.267698044</v>
      </c>
      <c r="Z125" s="18">
        <f t="shared" si="68"/>
        <v>4554454.05919124</v>
      </c>
      <c r="AA125" s="18">
        <f t="shared" si="68"/>
        <v>5260394.438365882</v>
      </c>
      <c r="AB125" s="18">
        <f t="shared" si="68"/>
        <v>6075755.576312595</v>
      </c>
      <c r="AC125" s="18">
        <f t="shared" si="68"/>
        <v>7017497.6906410465</v>
      </c>
      <c r="AD125" s="18">
        <f t="shared" si="68"/>
        <v>8105209.83269041</v>
      </c>
      <c r="AE125" s="18">
        <f t="shared" si="68"/>
        <v>9361517.356757425</v>
      </c>
      <c r="AF125" s="18">
        <f t="shared" si="68"/>
        <v>10812552.547054823</v>
      </c>
      <c r="AG125" s="18">
        <f t="shared" si="68"/>
        <v>12488498.191848323</v>
      </c>
      <c r="AH125" s="18">
        <f t="shared" si="68"/>
        <v>14424215.411584811</v>
      </c>
      <c r="AI125" s="18">
        <f t="shared" si="68"/>
        <v>16659968.800380459</v>
      </c>
      <c r="AJ125" s="18">
        <f t="shared" si="68"/>
        <v>19242263.964439433</v>
      </c>
      <c r="AK125" s="18">
        <f t="shared" si="68"/>
        <v>22224814.878927547</v>
      </c>
    </row>
    <row r="126" spans="3:37" ht="12.75">
      <c r="C126" s="6" t="str">
        <f>CONCATENATE("ICC Annual Inspection Cost @ ",E19)</f>
        <v>ICC Annual Inspection Cost @ 0.027</v>
      </c>
      <c r="D126" s="59">
        <v>820</v>
      </c>
      <c r="E126" s="27">
        <v>820</v>
      </c>
      <c r="F126" s="27">
        <f>$E$126*F102*F$24</f>
        <v>80360</v>
      </c>
      <c r="G126" s="27">
        <f aca="true" t="shared" si="69" ref="G126:AK126">$E$126*G102*G$24</f>
        <v>86961</v>
      </c>
      <c r="H126" s="27">
        <f t="shared" si="69"/>
        <v>94021.2</v>
      </c>
      <c r="I126" s="27">
        <f t="shared" si="69"/>
        <v>100620.76500000001</v>
      </c>
      <c r="J126" s="27">
        <f t="shared" si="69"/>
        <v>108641.94862500002</v>
      </c>
      <c r="K126" s="27">
        <f t="shared" si="69"/>
        <v>117213.69870000004</v>
      </c>
      <c r="L126" s="27">
        <f t="shared" si="69"/>
        <v>126371.01891093754</v>
      </c>
      <c r="M126" s="27">
        <f t="shared" si="69"/>
        <v>136151.0368962188</v>
      </c>
      <c r="N126" s="27">
        <f t="shared" si="69"/>
        <v>146593.12913275082</v>
      </c>
      <c r="O126" s="27">
        <f t="shared" si="69"/>
        <v>159011.1421377979</v>
      </c>
      <c r="P126" s="27">
        <f t="shared" si="69"/>
        <v>170968.7800265603</v>
      </c>
      <c r="Q126" s="27">
        <f t="shared" si="69"/>
        <v>185127.13212250985</v>
      </c>
      <c r="R126" s="27">
        <f t="shared" si="69"/>
        <v>198801.29529064978</v>
      </c>
      <c r="S126" s="27">
        <f t="shared" si="69"/>
        <v>214926.2892420025</v>
      </c>
      <c r="T126" s="27">
        <f t="shared" si="69"/>
        <v>230543.23543872352</v>
      </c>
      <c r="U126" s="27">
        <f t="shared" si="69"/>
        <v>248889.281639129</v>
      </c>
      <c r="V126" s="27">
        <f t="shared" si="69"/>
        <v>268493.5743709782</v>
      </c>
      <c r="W126" s="27">
        <f t="shared" si="69"/>
        <v>289436.0731719145</v>
      </c>
      <c r="X126" s="27">
        <f t="shared" si="69"/>
        <v>311801.587917017</v>
      </c>
      <c r="Y126" s="27">
        <f t="shared" si="69"/>
        <v>337752.16311390797</v>
      </c>
      <c r="Z126" s="27">
        <f t="shared" si="69"/>
        <v>363342.5877424771</v>
      </c>
      <c r="AA126" s="27">
        <f t="shared" si="69"/>
        <v>392932.1637502476</v>
      </c>
      <c r="AB126" s="27">
        <f t="shared" si="69"/>
        <v>422173.62709910324</v>
      </c>
      <c r="AC126" s="27">
        <f t="shared" si="69"/>
        <v>455875.55585332145</v>
      </c>
      <c r="AD126" s="27">
        <f t="shared" si="69"/>
        <v>491892.2434152137</v>
      </c>
      <c r="AE126" s="27">
        <f t="shared" si="69"/>
        <v>530370.9108436619</v>
      </c>
      <c r="AF126" s="27">
        <f t="shared" si="69"/>
        <v>571467.7144064169</v>
      </c>
      <c r="AG126" s="27">
        <f t="shared" si="69"/>
        <v>615348.2710483382</v>
      </c>
      <c r="AH126" s="27">
        <f t="shared" si="69"/>
        <v>665402.7199619715</v>
      </c>
      <c r="AI126" s="27">
        <f t="shared" si="69"/>
        <v>715549.0119011347</v>
      </c>
      <c r="AJ126" s="27">
        <f t="shared" si="69"/>
        <v>772590.4189819327</v>
      </c>
      <c r="AK126" s="27">
        <f t="shared" si="69"/>
        <v>833547.0942410576</v>
      </c>
    </row>
    <row r="127" spans="3:37" ht="12.75">
      <c r="C127" s="6" t="str">
        <f>CONCATENATE("ICC Annual Inspection Cost @ ",E20)</f>
        <v>ICC Annual Inspection Cost @ 0.1</v>
      </c>
      <c r="D127" s="59">
        <v>820</v>
      </c>
      <c r="E127" s="27">
        <v>820</v>
      </c>
      <c r="F127" s="27">
        <f>$E$126*F103*F$24</f>
        <v>80360</v>
      </c>
      <c r="G127" s="27">
        <f aca="true" t="shared" si="70" ref="G127:AK127">$E$126*G103*G$24</f>
        <v>92988</v>
      </c>
      <c r="H127" s="27">
        <f t="shared" si="70"/>
        <v>107581.95</v>
      </c>
      <c r="I127" s="27">
        <f t="shared" si="70"/>
        <v>124352.07750000001</v>
      </c>
      <c r="J127" s="27">
        <f t="shared" si="70"/>
        <v>143526.97800000003</v>
      </c>
      <c r="K127" s="27">
        <f t="shared" si="70"/>
        <v>165355.03923750005</v>
      </c>
      <c r="L127" s="27">
        <f t="shared" si="70"/>
        <v>191204.84600437505</v>
      </c>
      <c r="M127" s="27">
        <f t="shared" si="70"/>
        <v>220380.06819642195</v>
      </c>
      <c r="N127" s="27">
        <f t="shared" si="70"/>
        <v>254417.82742047665</v>
      </c>
      <c r="O127" s="27">
        <f t="shared" si="70"/>
        <v>293852.59067065053</v>
      </c>
      <c r="P127" s="27">
        <f t="shared" si="70"/>
        <v>339266.1728652056</v>
      </c>
      <c r="Q127" s="27">
        <f t="shared" si="70"/>
        <v>391291.43834985036</v>
      </c>
      <c r="R127" s="27">
        <f t="shared" si="70"/>
        <v>452088.871512811</v>
      </c>
      <c r="S127" s="27">
        <f t="shared" si="70"/>
        <v>522626.51628630824</v>
      </c>
      <c r="T127" s="27">
        <f t="shared" si="70"/>
        <v>603958.335092994</v>
      </c>
      <c r="U127" s="27">
        <f t="shared" si="70"/>
        <v>697230.9328109847</v>
      </c>
      <c r="V127" s="27">
        <f t="shared" si="70"/>
        <v>805480.7231129347</v>
      </c>
      <c r="W127" s="27">
        <f t="shared" si="70"/>
        <v>930330.2351954395</v>
      </c>
      <c r="X127" s="27">
        <f t="shared" si="70"/>
        <v>1073544.7077649194</v>
      </c>
      <c r="Y127" s="27">
        <f t="shared" si="70"/>
        <v>1239115.2978043985</v>
      </c>
      <c r="Z127" s="27">
        <f t="shared" si="70"/>
        <v>1431613.309787724</v>
      </c>
      <c r="AA127" s="27">
        <f t="shared" si="70"/>
        <v>1653970.270669647</v>
      </c>
      <c r="AB127" s="27">
        <f t="shared" si="70"/>
        <v>1909376.1771073078</v>
      </c>
      <c r="AC127" s="27">
        <f t="shared" si="70"/>
        <v>2206336.9443508815</v>
      </c>
      <c r="AD127" s="27">
        <f t="shared" si="70"/>
        <v>2546732.421552961</v>
      </c>
      <c r="AE127" s="27">
        <f t="shared" si="70"/>
        <v>2943419.7146297465</v>
      </c>
      <c r="AF127" s="27">
        <f t="shared" si="70"/>
        <v>3399649.770397357</v>
      </c>
      <c r="AG127" s="27">
        <f t="shared" si="70"/>
        <v>3924758.6242983555</v>
      </c>
      <c r="AH127" s="27">
        <f t="shared" si="70"/>
        <v>4532453.309885893</v>
      </c>
      <c r="AI127" s="27">
        <f t="shared" si="70"/>
        <v>5234983.572918207</v>
      </c>
      <c r="AJ127" s="27">
        <f t="shared" si="70"/>
        <v>6046051.627445768</v>
      </c>
      <c r="AK127" s="27">
        <f t="shared" si="70"/>
        <v>6984678.106653863</v>
      </c>
    </row>
    <row r="128" spans="3:37" ht="12.75">
      <c r="C128" s="3" t="str">
        <f>CONCATENATE("Diesel Fuel Inventory Cost @ ",E19)</f>
        <v>Diesel Fuel Inventory Cost @ 0.027</v>
      </c>
      <c r="D128" s="56">
        <v>0.1</v>
      </c>
      <c r="E128" s="21">
        <v>0.1</v>
      </c>
      <c r="F128" s="18">
        <f>F95*$E$128</f>
        <v>200376.00480240004</v>
      </c>
      <c r="G128" s="18">
        <f aca="true" t="shared" si="71" ref="G128:AK128">G95*$E$128</f>
        <v>212988.67242468707</v>
      </c>
      <c r="H128" s="18">
        <f t="shared" si="71"/>
        <v>226395.244410459</v>
      </c>
      <c r="I128" s="18">
        <f t="shared" si="71"/>
        <v>240645.69306987536</v>
      </c>
      <c r="J128" s="18">
        <f t="shared" si="71"/>
        <v>255793.13622015866</v>
      </c>
      <c r="K128" s="18">
        <f t="shared" si="71"/>
        <v>271894.0351795365</v>
      </c>
      <c r="L128" s="18">
        <f t="shared" si="71"/>
        <v>289008.40522391244</v>
      </c>
      <c r="M128" s="18">
        <f t="shared" si="71"/>
        <v>307200.03929073154</v>
      </c>
      <c r="N128" s="18">
        <f t="shared" si="71"/>
        <v>326536.7457638867</v>
      </c>
      <c r="O128" s="18">
        <f t="shared" si="71"/>
        <v>347090.6012259945</v>
      </c>
      <c r="P128" s="18">
        <f t="shared" si="71"/>
        <v>368938.2191201647</v>
      </c>
      <c r="Q128" s="18">
        <f t="shared" si="71"/>
        <v>392161.0353226834</v>
      </c>
      <c r="R128" s="18">
        <f t="shared" si="71"/>
        <v>416845.61169106973</v>
      </c>
      <c r="S128" s="18">
        <f t="shared" si="71"/>
        <v>443083.95871896413</v>
      </c>
      <c r="T128" s="18">
        <f t="shared" si="71"/>
        <v>470973.87850052933</v>
      </c>
      <c r="U128" s="18">
        <f t="shared" si="71"/>
        <v>500619.3292827452</v>
      </c>
      <c r="V128" s="18">
        <f t="shared" si="71"/>
        <v>532130.8129644477</v>
      </c>
      <c r="W128" s="18">
        <f t="shared" si="71"/>
        <v>565625.7869864948</v>
      </c>
      <c r="X128" s="18">
        <f t="shared" si="71"/>
        <v>601229.1021483596</v>
      </c>
      <c r="Y128" s="18">
        <f t="shared" si="71"/>
        <v>639073.467983088</v>
      </c>
      <c r="Z128" s="18">
        <f t="shared" si="71"/>
        <v>679299.9474252835</v>
      </c>
      <c r="AA128" s="18">
        <f t="shared" si="71"/>
        <v>722058.4826159679</v>
      </c>
      <c r="AB128" s="18">
        <f t="shared" si="71"/>
        <v>767508.4538042301</v>
      </c>
      <c r="AC128" s="18">
        <f t="shared" si="71"/>
        <v>815819.2734289373</v>
      </c>
      <c r="AD128" s="18">
        <f t="shared" si="71"/>
        <v>867171.0175949216</v>
      </c>
      <c r="AE128" s="18">
        <f t="shared" si="71"/>
        <v>921755.097297434</v>
      </c>
      <c r="AF128" s="18">
        <f t="shared" si="71"/>
        <v>979774.9718968207</v>
      </c>
      <c r="AG128" s="18">
        <f t="shared" si="71"/>
        <v>1041446.9075028662</v>
      </c>
      <c r="AH128" s="18">
        <f t="shared" si="71"/>
        <v>1107000.7830956343</v>
      </c>
      <c r="AI128" s="18">
        <f t="shared" si="71"/>
        <v>1176680.9473875887</v>
      </c>
      <c r="AJ128" s="18">
        <f t="shared" si="71"/>
        <v>1250747.1296209006</v>
      </c>
      <c r="AK128" s="18">
        <f t="shared" si="71"/>
        <v>1329475.407694888</v>
      </c>
    </row>
    <row r="129" spans="3:37" ht="12.75">
      <c r="C129" s="3" t="str">
        <f>CONCATENATE("Diesel Fuel Inventory Cost @ ",E20)</f>
        <v>Diesel Fuel Inventory Cost @ 0.1</v>
      </c>
      <c r="D129" s="56">
        <v>0.1</v>
      </c>
      <c r="E129" s="21">
        <v>0.1</v>
      </c>
      <c r="F129" s="18">
        <f>F96*$E$129</f>
        <v>200376.00480240004</v>
      </c>
      <c r="G129" s="18">
        <f aca="true" t="shared" si="72" ref="G129:AK129">G96*$E$129</f>
        <v>228128.08146753244</v>
      </c>
      <c r="H129" s="18">
        <f t="shared" si="72"/>
        <v>259723.82075078564</v>
      </c>
      <c r="I129" s="18">
        <f t="shared" si="72"/>
        <v>295695.56992476946</v>
      </c>
      <c r="J129" s="18">
        <f t="shared" si="72"/>
        <v>336649.4063593501</v>
      </c>
      <c r="K129" s="18">
        <f t="shared" si="72"/>
        <v>383275.34914012</v>
      </c>
      <c r="L129" s="18">
        <f t="shared" si="72"/>
        <v>436358.9849960266</v>
      </c>
      <c r="M129" s="18">
        <f t="shared" si="72"/>
        <v>496794.7044179762</v>
      </c>
      <c r="N129" s="18">
        <f t="shared" si="72"/>
        <v>565600.7709798659</v>
      </c>
      <c r="O129" s="18">
        <f t="shared" si="72"/>
        <v>643936.4777605773</v>
      </c>
      <c r="P129" s="18">
        <f t="shared" si="72"/>
        <v>733121.6799304172</v>
      </c>
      <c r="Q129" s="18">
        <f t="shared" si="72"/>
        <v>834659.0326007801</v>
      </c>
      <c r="R129" s="18">
        <f t="shared" si="72"/>
        <v>950259.3086159881</v>
      </c>
      <c r="S129" s="18">
        <f t="shared" si="72"/>
        <v>1081870.2228593023</v>
      </c>
      <c r="T129" s="18">
        <f t="shared" si="72"/>
        <v>1231709.2487253156</v>
      </c>
      <c r="U129" s="18">
        <f t="shared" si="72"/>
        <v>1402300.9796737721</v>
      </c>
      <c r="V129" s="18">
        <f t="shared" si="72"/>
        <v>1596519.6653585895</v>
      </c>
      <c r="W129" s="18">
        <f t="shared" si="72"/>
        <v>1817637.6390107544</v>
      </c>
      <c r="X129" s="18">
        <f t="shared" si="72"/>
        <v>2069380.4520137433</v>
      </c>
      <c r="Y129" s="18">
        <f t="shared" si="72"/>
        <v>2355989.644617647</v>
      </c>
      <c r="Z129" s="18">
        <f t="shared" si="72"/>
        <v>2682294.2103971913</v>
      </c>
      <c r="AA129" s="18">
        <f t="shared" si="72"/>
        <v>3053791.9585372023</v>
      </c>
      <c r="AB129" s="18">
        <f t="shared" si="72"/>
        <v>3476742.144794605</v>
      </c>
      <c r="AC129" s="18">
        <f t="shared" si="72"/>
        <v>3958270.9318486587</v>
      </c>
      <c r="AD129" s="18">
        <f t="shared" si="72"/>
        <v>4506491.455909697</v>
      </c>
      <c r="AE129" s="18">
        <f t="shared" si="72"/>
        <v>5130640.522553191</v>
      </c>
      <c r="AF129" s="18">
        <f t="shared" si="72"/>
        <v>5841234.234926807</v>
      </c>
      <c r="AG129" s="18">
        <f t="shared" si="72"/>
        <v>6650245.17646417</v>
      </c>
      <c r="AH129" s="18">
        <f t="shared" si="72"/>
        <v>7571304.133404456</v>
      </c>
      <c r="AI129" s="18">
        <f t="shared" si="72"/>
        <v>8619929.755880972</v>
      </c>
      <c r="AJ129" s="18">
        <f t="shared" si="72"/>
        <v>9813790.027070489</v>
      </c>
      <c r="AK129" s="18">
        <f t="shared" si="72"/>
        <v>11172999.945819752</v>
      </c>
    </row>
    <row r="130" spans="3:37" ht="12.75">
      <c r="C130" s="3" t="str">
        <f>CONCATENATE("Lube Oil Analysis @ ",E19)</f>
        <v>Lube Oil Analysis @ 0.027</v>
      </c>
      <c r="D130" s="59">
        <v>395</v>
      </c>
      <c r="E130" s="27">
        <v>395</v>
      </c>
      <c r="F130" s="27">
        <f>$E$130*F102*F24</f>
        <v>38710</v>
      </c>
      <c r="G130" s="27">
        <f>$E$130*G102*G24</f>
        <v>41889.75</v>
      </c>
      <c r="H130" s="27">
        <f aca="true" t="shared" si="73" ref="H130:AK130">$E$130*H102*H24</f>
        <v>45290.700000000004</v>
      </c>
      <c r="I130" s="27">
        <f t="shared" si="73"/>
        <v>48469.75875000001</v>
      </c>
      <c r="J130" s="27">
        <f t="shared" si="73"/>
        <v>52333.62159375001</v>
      </c>
      <c r="K130" s="27">
        <f t="shared" si="73"/>
        <v>56462.69632500002</v>
      </c>
      <c r="L130" s="27">
        <f t="shared" si="73"/>
        <v>60873.844475390644</v>
      </c>
      <c r="M130" s="27">
        <f t="shared" si="73"/>
        <v>65584.95070000783</v>
      </c>
      <c r="N130" s="27">
        <f t="shared" si="73"/>
        <v>70614.98293589827</v>
      </c>
      <c r="O130" s="27">
        <f t="shared" si="73"/>
        <v>76596.83066393924</v>
      </c>
      <c r="P130" s="27">
        <f t="shared" si="73"/>
        <v>82356.91232986747</v>
      </c>
      <c r="Q130" s="27">
        <f t="shared" si="73"/>
        <v>89177.09413218462</v>
      </c>
      <c r="R130" s="27">
        <f t="shared" si="73"/>
        <v>95764.03858513008</v>
      </c>
      <c r="S130" s="27">
        <f t="shared" si="73"/>
        <v>103531.5661592573</v>
      </c>
      <c r="T130" s="27">
        <f t="shared" si="73"/>
        <v>111054.36341255585</v>
      </c>
      <c r="U130" s="27">
        <f t="shared" si="73"/>
        <v>119891.7881066536</v>
      </c>
      <c r="V130" s="27">
        <f t="shared" si="73"/>
        <v>129335.31936162976</v>
      </c>
      <c r="W130" s="27">
        <f t="shared" si="73"/>
        <v>139423.47427183687</v>
      </c>
      <c r="X130" s="27">
        <f t="shared" si="73"/>
        <v>150197.10637466062</v>
      </c>
      <c r="Y130" s="27">
        <f t="shared" si="73"/>
        <v>162697.68832926053</v>
      </c>
      <c r="Z130" s="27">
        <f t="shared" si="73"/>
        <v>175024.78311985175</v>
      </c>
      <c r="AA130" s="27">
        <f t="shared" si="73"/>
        <v>189278.29839188757</v>
      </c>
      <c r="AB130" s="27">
        <f t="shared" si="73"/>
        <v>203364.12524895827</v>
      </c>
      <c r="AC130" s="27">
        <f t="shared" si="73"/>
        <v>219598.59092934386</v>
      </c>
      <c r="AD130" s="27">
        <f t="shared" si="73"/>
        <v>236948.09286464562</v>
      </c>
      <c r="AE130" s="27">
        <f t="shared" si="73"/>
        <v>255483.5485161542</v>
      </c>
      <c r="AF130" s="27">
        <f t="shared" si="73"/>
        <v>275280.179500652</v>
      </c>
      <c r="AG130" s="27">
        <f t="shared" si="73"/>
        <v>296417.76471230923</v>
      </c>
      <c r="AH130" s="27">
        <f t="shared" si="73"/>
        <v>320529.3590060717</v>
      </c>
      <c r="AI130" s="27">
        <f t="shared" si="73"/>
        <v>344685.1947572539</v>
      </c>
      <c r="AJ130" s="27">
        <f t="shared" si="73"/>
        <v>372162.4579242237</v>
      </c>
      <c r="AK130" s="27">
        <f t="shared" si="73"/>
        <v>401525.7344209973</v>
      </c>
    </row>
    <row r="131" spans="3:37" ht="12.75">
      <c r="C131" s="3" t="str">
        <f>CONCATENATE("Lube Oil Analysis @ ",E20)</f>
        <v>Lube Oil Analysis @ 0.1</v>
      </c>
      <c r="D131" s="59">
        <v>395</v>
      </c>
      <c r="E131" s="27">
        <v>395</v>
      </c>
      <c r="F131" s="27">
        <f>$E$130*F103*F24</f>
        <v>38710</v>
      </c>
      <c r="G131" s="27">
        <f>$E$130*G103*G24</f>
        <v>44793</v>
      </c>
      <c r="H131" s="27">
        <f aca="true" t="shared" si="74" ref="H131:AK131">$E$130*H103*H24</f>
        <v>51823.012500000004</v>
      </c>
      <c r="I131" s="27">
        <f t="shared" si="74"/>
        <v>59901.30562500001</v>
      </c>
      <c r="J131" s="27">
        <f t="shared" si="74"/>
        <v>69137.99550000002</v>
      </c>
      <c r="K131" s="27">
        <f t="shared" si="74"/>
        <v>79652.73231562502</v>
      </c>
      <c r="L131" s="27">
        <f t="shared" si="74"/>
        <v>92104.77338015627</v>
      </c>
      <c r="M131" s="27">
        <f t="shared" si="74"/>
        <v>106158.69138730082</v>
      </c>
      <c r="N131" s="27">
        <f t="shared" si="74"/>
        <v>122554.92906230278</v>
      </c>
      <c r="O131" s="27">
        <f t="shared" si="74"/>
        <v>141550.9430669597</v>
      </c>
      <c r="P131" s="27">
        <f t="shared" si="74"/>
        <v>163426.99790458076</v>
      </c>
      <c r="Q131" s="27">
        <f t="shared" si="74"/>
        <v>188487.9489612084</v>
      </c>
      <c r="R131" s="27">
        <f t="shared" si="74"/>
        <v>217774.51737507357</v>
      </c>
      <c r="S131" s="27">
        <f t="shared" si="74"/>
        <v>251753.0169915753</v>
      </c>
      <c r="T131" s="27">
        <f t="shared" si="74"/>
        <v>290931.1492216252</v>
      </c>
      <c r="U131" s="27">
        <f t="shared" si="74"/>
        <v>335861.2420248036</v>
      </c>
      <c r="V131" s="27">
        <f t="shared" si="74"/>
        <v>388005.9580848893</v>
      </c>
      <c r="W131" s="27">
        <f t="shared" si="74"/>
        <v>448146.8815880471</v>
      </c>
      <c r="X131" s="27">
        <f t="shared" si="74"/>
        <v>517134.3409355404</v>
      </c>
      <c r="Y131" s="27">
        <f t="shared" si="74"/>
        <v>596890.9056496798</v>
      </c>
      <c r="Z131" s="27">
        <f t="shared" si="74"/>
        <v>689618.6065440866</v>
      </c>
      <c r="AA131" s="27">
        <f t="shared" si="74"/>
        <v>796729.5816030616</v>
      </c>
      <c r="AB131" s="27">
        <f t="shared" si="74"/>
        <v>919760.4755577885</v>
      </c>
      <c r="AC131" s="27">
        <f t="shared" si="74"/>
        <v>1062808.6500226809</v>
      </c>
      <c r="AD131" s="27">
        <f t="shared" si="74"/>
        <v>1226779.6420895362</v>
      </c>
      <c r="AE131" s="27">
        <f t="shared" si="74"/>
        <v>1417866.813754573</v>
      </c>
      <c r="AF131" s="27">
        <f t="shared" si="74"/>
        <v>1637636.1698865318</v>
      </c>
      <c r="AG131" s="27">
        <f t="shared" si="74"/>
        <v>1890584.9470705492</v>
      </c>
      <c r="AH131" s="27">
        <f t="shared" si="74"/>
        <v>2183315.923664546</v>
      </c>
      <c r="AI131" s="27">
        <f t="shared" si="74"/>
        <v>2521729.891832551</v>
      </c>
      <c r="AJ131" s="27">
        <f t="shared" si="74"/>
        <v>2912427.308342778</v>
      </c>
      <c r="AK131" s="27">
        <f t="shared" si="74"/>
        <v>3364570.551375946</v>
      </c>
    </row>
    <row r="132" spans="3:37" ht="12.75">
      <c r="C132" s="3" t="s">
        <v>35</v>
      </c>
      <c r="D132" s="59">
        <v>1000</v>
      </c>
      <c r="E132" s="27">
        <v>1000</v>
      </c>
      <c r="F132" s="27">
        <f>$E$132*F102*F$24</f>
        <v>98000</v>
      </c>
      <c r="G132" s="27">
        <f aca="true" t="shared" si="75" ref="G132:AK132">$E$132*G102*G$24</f>
        <v>106050</v>
      </c>
      <c r="H132" s="27">
        <f t="shared" si="75"/>
        <v>114660</v>
      </c>
      <c r="I132" s="27">
        <f t="shared" si="75"/>
        <v>122708.25000000001</v>
      </c>
      <c r="J132" s="27">
        <f t="shared" si="75"/>
        <v>132490.18125000002</v>
      </c>
      <c r="K132" s="27">
        <f t="shared" si="75"/>
        <v>142943.53500000003</v>
      </c>
      <c r="L132" s="27">
        <f t="shared" si="75"/>
        <v>154110.99867187504</v>
      </c>
      <c r="M132" s="27">
        <f t="shared" si="75"/>
        <v>166037.84987343755</v>
      </c>
      <c r="N132" s="27">
        <f t="shared" si="75"/>
        <v>178772.10869847663</v>
      </c>
      <c r="O132" s="27">
        <f t="shared" si="75"/>
        <v>193916.02699731453</v>
      </c>
      <c r="P132" s="27">
        <f t="shared" si="75"/>
        <v>208498.51222751258</v>
      </c>
      <c r="Q132" s="27">
        <f t="shared" si="75"/>
        <v>225764.79527135348</v>
      </c>
      <c r="R132" s="27">
        <f t="shared" si="75"/>
        <v>242440.60401298752</v>
      </c>
      <c r="S132" s="27">
        <f t="shared" si="75"/>
        <v>262105.23078292987</v>
      </c>
      <c r="T132" s="27">
        <f t="shared" si="75"/>
        <v>281150.2871203945</v>
      </c>
      <c r="U132" s="27">
        <f t="shared" si="75"/>
        <v>303523.51419405977</v>
      </c>
      <c r="V132" s="27">
        <f t="shared" si="75"/>
        <v>327431.1882572905</v>
      </c>
      <c r="W132" s="27">
        <f t="shared" si="75"/>
        <v>352970.82094135915</v>
      </c>
      <c r="X132" s="27">
        <f t="shared" si="75"/>
        <v>380245.8389231915</v>
      </c>
      <c r="Y132" s="27">
        <f t="shared" si="75"/>
        <v>411892.88184622925</v>
      </c>
      <c r="Z132" s="27">
        <f t="shared" si="75"/>
        <v>443100.71675911837</v>
      </c>
      <c r="AA132" s="27">
        <f t="shared" si="75"/>
        <v>479185.5655490825</v>
      </c>
      <c r="AB132" s="27">
        <f t="shared" si="75"/>
        <v>514845.8867062235</v>
      </c>
      <c r="AC132" s="27">
        <f t="shared" si="75"/>
        <v>555945.7998211237</v>
      </c>
      <c r="AD132" s="27">
        <f t="shared" si="75"/>
        <v>599868.5895307484</v>
      </c>
      <c r="AE132" s="27">
        <f t="shared" si="75"/>
        <v>646793.7937117828</v>
      </c>
      <c r="AF132" s="27">
        <f t="shared" si="75"/>
        <v>696911.8468370937</v>
      </c>
      <c r="AG132" s="27">
        <f t="shared" si="75"/>
        <v>750424.7207906563</v>
      </c>
      <c r="AH132" s="27">
        <f t="shared" si="75"/>
        <v>811466.7316609409</v>
      </c>
      <c r="AI132" s="27">
        <f t="shared" si="75"/>
        <v>872620.746220896</v>
      </c>
      <c r="AJ132" s="27">
        <f t="shared" si="75"/>
        <v>942183.4377828448</v>
      </c>
      <c r="AK132" s="27">
        <f t="shared" si="75"/>
        <v>1016520.8466354362</v>
      </c>
    </row>
    <row r="133" spans="3:37" ht="12.75">
      <c r="C133" s="3" t="s">
        <v>36</v>
      </c>
      <c r="D133" s="59">
        <v>1000</v>
      </c>
      <c r="E133" s="27">
        <v>1000</v>
      </c>
      <c r="F133" s="27">
        <f>$E$132*F103*F$24</f>
        <v>98000</v>
      </c>
      <c r="G133" s="27">
        <f aca="true" t="shared" si="76" ref="G133:AK133">$E$132*G103*G$24</f>
        <v>113400</v>
      </c>
      <c r="H133" s="27">
        <f t="shared" si="76"/>
        <v>131197.5</v>
      </c>
      <c r="I133" s="27">
        <f t="shared" si="76"/>
        <v>151648.87500000003</v>
      </c>
      <c r="J133" s="27">
        <f t="shared" si="76"/>
        <v>175032.90000000002</v>
      </c>
      <c r="K133" s="27">
        <f t="shared" si="76"/>
        <v>201652.48687500006</v>
      </c>
      <c r="L133" s="27">
        <f t="shared" si="76"/>
        <v>233176.64146875008</v>
      </c>
      <c r="M133" s="27">
        <f t="shared" si="76"/>
        <v>268756.18072734383</v>
      </c>
      <c r="N133" s="27">
        <f t="shared" si="76"/>
        <v>310265.6431957032</v>
      </c>
      <c r="O133" s="27">
        <f t="shared" si="76"/>
        <v>358356.81789103727</v>
      </c>
      <c r="P133" s="27">
        <f t="shared" si="76"/>
        <v>413739.23520147026</v>
      </c>
      <c r="Q133" s="27">
        <f t="shared" si="76"/>
        <v>477184.68091445166</v>
      </c>
      <c r="R133" s="27">
        <f t="shared" si="76"/>
        <v>551327.8920887939</v>
      </c>
      <c r="S133" s="27">
        <f t="shared" si="76"/>
        <v>637349.4101052539</v>
      </c>
      <c r="T133" s="27">
        <f t="shared" si="76"/>
        <v>736534.5549914561</v>
      </c>
      <c r="U133" s="27">
        <f t="shared" si="76"/>
        <v>850281.6253792497</v>
      </c>
      <c r="V133" s="27">
        <f t="shared" si="76"/>
        <v>982293.5647718717</v>
      </c>
      <c r="W133" s="27">
        <f t="shared" si="76"/>
        <v>1134549.0673115116</v>
      </c>
      <c r="X133" s="27">
        <f t="shared" si="76"/>
        <v>1309200.8631279503</v>
      </c>
      <c r="Y133" s="27">
        <f t="shared" si="76"/>
        <v>1511116.2168346324</v>
      </c>
      <c r="Z133" s="27">
        <f t="shared" si="76"/>
        <v>1745869.8899850291</v>
      </c>
      <c r="AA133" s="27">
        <f t="shared" si="76"/>
        <v>2017036.915450789</v>
      </c>
      <c r="AB133" s="27">
        <f t="shared" si="76"/>
        <v>2328507.5330576925</v>
      </c>
      <c r="AC133" s="27">
        <f t="shared" si="76"/>
        <v>2690654.810184002</v>
      </c>
      <c r="AD133" s="27">
        <f t="shared" si="76"/>
        <v>3105771.245796294</v>
      </c>
      <c r="AE133" s="27">
        <f t="shared" si="76"/>
        <v>3589536.2373533496</v>
      </c>
      <c r="AF133" s="27">
        <f t="shared" si="76"/>
        <v>4145914.3541431185</v>
      </c>
      <c r="AG133" s="27">
        <f t="shared" si="76"/>
        <v>4786291.005241897</v>
      </c>
      <c r="AH133" s="27">
        <f t="shared" si="76"/>
        <v>5527382.085226699</v>
      </c>
      <c r="AI133" s="27">
        <f t="shared" si="76"/>
        <v>6384126.308436838</v>
      </c>
      <c r="AJ133" s="27">
        <f t="shared" si="76"/>
        <v>7373233.692007033</v>
      </c>
      <c r="AK133" s="27">
        <f t="shared" si="76"/>
        <v>8517900.130065687</v>
      </c>
    </row>
    <row r="134" spans="3:37" ht="12.75">
      <c r="C134" s="3" t="s">
        <v>37</v>
      </c>
      <c r="D134" s="59">
        <v>140000</v>
      </c>
      <c r="E134" s="27">
        <v>140000</v>
      </c>
      <c r="F134" s="27">
        <f>$E$134*F24</f>
        <v>140000</v>
      </c>
      <c r="G134" s="27">
        <f aca="true" t="shared" si="77" ref="G134:T134">$E$134*G24</f>
        <v>147000</v>
      </c>
      <c r="H134" s="27">
        <f t="shared" si="77"/>
        <v>154350</v>
      </c>
      <c r="I134" s="27">
        <f t="shared" si="77"/>
        <v>162067.50000000003</v>
      </c>
      <c r="J134" s="27">
        <f t="shared" si="77"/>
        <v>170170.87500000003</v>
      </c>
      <c r="K134" s="27">
        <f t="shared" si="77"/>
        <v>178679.41875000004</v>
      </c>
      <c r="L134" s="27">
        <f t="shared" si="77"/>
        <v>187613.38968750005</v>
      </c>
      <c r="M134" s="27">
        <f t="shared" si="77"/>
        <v>196994.05917187507</v>
      </c>
      <c r="N134" s="27">
        <f t="shared" si="77"/>
        <v>206843.76213046882</v>
      </c>
      <c r="O134" s="27">
        <f t="shared" si="77"/>
        <v>217185.95023699227</v>
      </c>
      <c r="P134" s="27">
        <f t="shared" si="77"/>
        <v>228045.24774884188</v>
      </c>
      <c r="Q134" s="27">
        <f t="shared" si="77"/>
        <v>239447.510136284</v>
      </c>
      <c r="R134" s="27">
        <f t="shared" si="77"/>
        <v>251419.88564309818</v>
      </c>
      <c r="S134" s="27">
        <f t="shared" si="77"/>
        <v>263990.8799252531</v>
      </c>
      <c r="T134" s="27">
        <f t="shared" si="77"/>
        <v>277190.42392151576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</row>
    <row r="135" spans="3:37" ht="12.75">
      <c r="C135" s="3" t="s">
        <v>53</v>
      </c>
      <c r="D135" s="59"/>
      <c r="E135" s="27">
        <f>NPV(E1834%,F134:T134)</f>
        <v>3020998.9023518288</v>
      </c>
      <c r="F135" s="16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</row>
    <row r="136" spans="3:37" ht="12.75">
      <c r="C136" s="3" t="s">
        <v>38</v>
      </c>
      <c r="D136" s="59">
        <v>8000000</v>
      </c>
      <c r="E136" s="27">
        <v>8000000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3:37" ht="12.75">
      <c r="C137" s="3" t="s">
        <v>39</v>
      </c>
      <c r="D137" s="59">
        <v>1000000</v>
      </c>
      <c r="E137" s="27">
        <v>1000000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3:37" ht="12.75">
      <c r="C138" s="7" t="s">
        <v>86</v>
      </c>
      <c r="E138" s="18">
        <f>E115-E136+E137+E135</f>
        <v>19204998.90235183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3:37" ht="12.75">
      <c r="C139" s="7" t="str">
        <f>CONCATENATE("NPV, Capital Costs @ ",E19)</f>
        <v>NPV, Capital Costs @ 0.027</v>
      </c>
      <c r="E139" s="18">
        <f>E117+E135+E137-E136</f>
        <v>39417479.94401422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3:37" ht="12.75">
      <c r="C140" s="7" t="str">
        <f>CONCATENATE("NPV, Capital Costs @ ",E20)</f>
        <v>NPV, Capital Costs @ 0.1</v>
      </c>
      <c r="E140" s="18">
        <f>E118+E135+E137-E136</f>
        <v>131961459.36213228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3:37" ht="12.75">
      <c r="C141" s="3" t="str">
        <f>CONCATENATE("Total Operating Cost @ ",E19)</f>
        <v>Total Operating Cost @ 0.027</v>
      </c>
      <c r="E141" s="18">
        <f>SUM(F141:AK141)</f>
        <v>561044580.3389511</v>
      </c>
      <c r="F141" s="18">
        <f>F95+F97+F122+F124+F126+F128+F130+F132+F$134</f>
        <v>6105813.201653134</v>
      </c>
      <c r="G141" s="18">
        <f aca="true" t="shared" si="78" ref="G141:AK141">G95+G97+G122+G124+G126+G128+G130+G132+G$134</f>
        <v>6395385.408210137</v>
      </c>
      <c r="H141" s="18">
        <f t="shared" si="78"/>
        <v>6702350.270734415</v>
      </c>
      <c r="I141" s="18">
        <f t="shared" si="78"/>
        <v>6991989.449661327</v>
      </c>
      <c r="J141" s="18">
        <f t="shared" si="78"/>
        <v>7336848.366272976</v>
      </c>
      <c r="K141" s="18">
        <f t="shared" si="78"/>
        <v>7702464.814481135</v>
      </c>
      <c r="L141" s="18">
        <f t="shared" si="78"/>
        <v>8090103.61647326</v>
      </c>
      <c r="M141" s="18">
        <f t="shared" si="78"/>
        <v>8501107.717009893</v>
      </c>
      <c r="N141" s="18">
        <f t="shared" si="78"/>
        <v>8936903.080403335</v>
      </c>
      <c r="O141" s="18">
        <f t="shared" si="78"/>
        <v>9446946.64056298</v>
      </c>
      <c r="P141" s="18">
        <f t="shared" si="78"/>
        <v>9937132.686475279</v>
      </c>
      <c r="Q141" s="18">
        <f t="shared" si="78"/>
        <v>10509805.237877624</v>
      </c>
      <c r="R141" s="18">
        <f t="shared" si="78"/>
        <v>11061253.959737066</v>
      </c>
      <c r="S141" s="18">
        <f t="shared" si="78"/>
        <v>11704357.09371604</v>
      </c>
      <c r="T141" s="18">
        <f t="shared" si="78"/>
        <v>12705782.629478797</v>
      </c>
      <c r="U141" s="18">
        <f t="shared" si="78"/>
        <v>14923928.266740613</v>
      </c>
      <c r="V141" s="18">
        <f t="shared" si="78"/>
        <v>16085692.358562235</v>
      </c>
      <c r="W141" s="18">
        <f t="shared" si="78"/>
        <v>16984479.397821825</v>
      </c>
      <c r="X141" s="18">
        <f t="shared" si="78"/>
        <v>17969634.51493173</v>
      </c>
      <c r="Y141" s="18">
        <f t="shared" si="78"/>
        <v>18983523.069537506</v>
      </c>
      <c r="Z141" s="18">
        <f t="shared" si="78"/>
        <v>20051827.86628538</v>
      </c>
      <c r="AA141" s="18">
        <f t="shared" si="78"/>
        <v>21269571.222081445</v>
      </c>
      <c r="AB141" s="18">
        <f t="shared" si="78"/>
        <v>22468678.262784056</v>
      </c>
      <c r="AC141" s="18">
        <f t="shared" si="78"/>
        <v>23833924.057754677</v>
      </c>
      <c r="AD141" s="18">
        <f t="shared" si="78"/>
        <v>25235260.367508028</v>
      </c>
      <c r="AE141" s="18">
        <f t="shared" si="78"/>
        <v>26863682.64878582</v>
      </c>
      <c r="AF141" s="18">
        <f t="shared" si="78"/>
        <v>28436435.970405135</v>
      </c>
      <c r="AG141" s="18">
        <f t="shared" si="78"/>
        <v>30261356.975229204</v>
      </c>
      <c r="AH141" s="18">
        <f t="shared" si="78"/>
        <v>32147976.737301666</v>
      </c>
      <c r="AI141" s="18">
        <f t="shared" si="78"/>
        <v>31012987.243022993</v>
      </c>
      <c r="AJ141" s="18">
        <f t="shared" si="78"/>
        <v>38044969.99911264</v>
      </c>
      <c r="AK141" s="18">
        <f t="shared" si="78"/>
        <v>44342407.20833873</v>
      </c>
    </row>
    <row r="142" spans="3:37" ht="12.75">
      <c r="C142" s="3" t="str">
        <f>CONCATENATE("Total Operating Cost @ ",E20)</f>
        <v>Total Operating Cost @ 0.1</v>
      </c>
      <c r="E142" s="18">
        <f>SUM(F142:AK142)</f>
        <v>2797677151.6718464</v>
      </c>
      <c r="F142" s="18">
        <f>F96+F98+F123+F125+F127+F129+F131+F133+F$134</f>
        <v>6105813.201653134</v>
      </c>
      <c r="G142" s="18">
        <f aca="true" t="shared" si="79" ref="G142:AK142">G96+G98+G123+G125+G127+G129+G131+G133+G$134</f>
        <v>6827395.81125751</v>
      </c>
      <c r="H142" s="18">
        <f t="shared" si="79"/>
        <v>7654507.1734472755</v>
      </c>
      <c r="I142" s="18">
        <f t="shared" si="79"/>
        <v>8599114.830479039</v>
      </c>
      <c r="J142" s="18">
        <f t="shared" si="79"/>
        <v>9674561.424634205</v>
      </c>
      <c r="K142" s="18">
        <f t="shared" si="79"/>
        <v>10895734.104411282</v>
      </c>
      <c r="L142" s="18">
        <f t="shared" si="79"/>
        <v>12320670.88325693</v>
      </c>
      <c r="M142" s="18">
        <f t="shared" si="79"/>
        <v>13928752.420148397</v>
      </c>
      <c r="N142" s="18">
        <f t="shared" si="79"/>
        <v>15786531.618586598</v>
      </c>
      <c r="O142" s="18">
        <f t="shared" si="79"/>
        <v>17922114.21207384</v>
      </c>
      <c r="P142" s="18">
        <f t="shared" si="79"/>
        <v>20366771.510629147</v>
      </c>
      <c r="Q142" s="18">
        <f t="shared" si="79"/>
        <v>23155323.51911958</v>
      </c>
      <c r="R142" s="18">
        <f t="shared" si="79"/>
        <v>26382071.45750847</v>
      </c>
      <c r="S142" s="18">
        <f t="shared" si="79"/>
        <v>30096036.42460724</v>
      </c>
      <c r="T142" s="18">
        <f t="shared" si="79"/>
        <v>34732671.413367935</v>
      </c>
      <c r="U142" s="18">
        <f t="shared" si="79"/>
        <v>41086494.17528984</v>
      </c>
      <c r="V142" s="18">
        <f t="shared" si="79"/>
        <v>46866979.233222276</v>
      </c>
      <c r="W142" s="18">
        <f t="shared" si="79"/>
        <v>53576063.650453866</v>
      </c>
      <c r="X142" s="18">
        <f t="shared" si="79"/>
        <v>61246532.85001097</v>
      </c>
      <c r="Y142" s="18">
        <f t="shared" si="79"/>
        <v>70062483.65909503</v>
      </c>
      <c r="Z142" s="18">
        <f t="shared" si="79"/>
        <v>80231870.75540854</v>
      </c>
      <c r="AA142" s="18">
        <f t="shared" si="79"/>
        <v>91864625.08332261</v>
      </c>
      <c r="AB142" s="18">
        <f t="shared" si="79"/>
        <v>105245823.93570971</v>
      </c>
      <c r="AC142" s="18">
        <f t="shared" si="79"/>
        <v>120625910.5693644</v>
      </c>
      <c r="AD142" s="18">
        <f t="shared" si="79"/>
        <v>138216434.75103965</v>
      </c>
      <c r="AE142" s="18">
        <f t="shared" si="79"/>
        <v>158572994.55415425</v>
      </c>
      <c r="AF142" s="18">
        <f t="shared" si="79"/>
        <v>181886630.1181842</v>
      </c>
      <c r="AG142" s="18">
        <f t="shared" si="79"/>
        <v>208543245.69232485</v>
      </c>
      <c r="AH142" s="18">
        <f t="shared" si="79"/>
        <v>239261873.62915906</v>
      </c>
      <c r="AI142" s="18">
        <f t="shared" si="79"/>
        <v>271429562.64589196</v>
      </c>
      <c r="AJ142" s="18">
        <f t="shared" si="79"/>
        <v>316959352.4637045</v>
      </c>
      <c r="AK142" s="18">
        <f t="shared" si="79"/>
        <v>367552203.9003301</v>
      </c>
    </row>
    <row r="143" spans="3:37" ht="12.75">
      <c r="C143" s="7" t="s">
        <v>144</v>
      </c>
      <c r="E143" s="48"/>
      <c r="F143" s="78">
        <f>F142/F20</f>
        <v>0.8327720033701503</v>
      </c>
      <c r="G143" s="78">
        <f aca="true" t="shared" si="80" ref="G143:AK143">G142/G20</f>
        <v>0.8465351564848977</v>
      </c>
      <c r="H143" s="78">
        <f t="shared" si="80"/>
        <v>0.8628086032191576</v>
      </c>
      <c r="I143" s="78">
        <f t="shared" si="80"/>
        <v>0.881167145018688</v>
      </c>
      <c r="J143" s="78">
        <f t="shared" si="80"/>
        <v>0.901245581446555</v>
      </c>
      <c r="K143" s="78">
        <f t="shared" si="80"/>
        <v>0.9227321939946129</v>
      </c>
      <c r="L143" s="78">
        <f t="shared" si="80"/>
        <v>0.9485513543565687</v>
      </c>
      <c r="M143" s="78">
        <f t="shared" si="80"/>
        <v>0.9748684730961595</v>
      </c>
      <c r="N143" s="78">
        <f t="shared" si="80"/>
        <v>1.0044488949761425</v>
      </c>
      <c r="O143" s="78">
        <f t="shared" si="80"/>
        <v>1.0366631880718868</v>
      </c>
      <c r="P143" s="78">
        <f t="shared" si="80"/>
        <v>1.070971570505929</v>
      </c>
      <c r="Q143" s="78">
        <f t="shared" si="80"/>
        <v>1.1069140992229456</v>
      </c>
      <c r="R143" s="78">
        <f t="shared" si="80"/>
        <v>1.1465137650217758</v>
      </c>
      <c r="S143" s="78">
        <f t="shared" si="80"/>
        <v>1.1890140858101057</v>
      </c>
      <c r="T143" s="78">
        <f t="shared" si="80"/>
        <v>1.2474501463993606</v>
      </c>
      <c r="U143" s="78">
        <f t="shared" si="80"/>
        <v>1.341502266738331</v>
      </c>
      <c r="V143" s="78">
        <f t="shared" si="80"/>
        <v>1.391126432587237</v>
      </c>
      <c r="W143" s="78">
        <f t="shared" si="80"/>
        <v>1.4456985885178755</v>
      </c>
      <c r="X143" s="78">
        <f t="shared" si="80"/>
        <v>1.5024352983547082</v>
      </c>
      <c r="Y143" s="78">
        <f t="shared" si="80"/>
        <v>1.5624535439954144</v>
      </c>
      <c r="Z143" s="78">
        <f t="shared" si="80"/>
        <v>1.6265814618890861</v>
      </c>
      <c r="AA143" s="78">
        <f t="shared" si="80"/>
        <v>1.6931074528345396</v>
      </c>
      <c r="AB143" s="78">
        <f t="shared" si="80"/>
        <v>1.763390114170108</v>
      </c>
      <c r="AC143" s="78">
        <f t="shared" si="80"/>
        <v>1.8373481181864515</v>
      </c>
      <c r="AD143" s="78">
        <f t="shared" si="80"/>
        <v>1.9138938429456658</v>
      </c>
      <c r="AE143" s="78">
        <f t="shared" si="80"/>
        <v>1.9961570251054754</v>
      </c>
      <c r="AF143" s="78">
        <f t="shared" si="80"/>
        <v>2.0814863412616584</v>
      </c>
      <c r="AG143" s="78">
        <f t="shared" si="80"/>
        <v>2.1695828139504307</v>
      </c>
      <c r="AH143" s="78">
        <f t="shared" si="80"/>
        <v>2.262876840707298</v>
      </c>
      <c r="AI143" s="78">
        <f t="shared" si="80"/>
        <v>2.3337368301565724</v>
      </c>
      <c r="AJ143" s="78">
        <f t="shared" si="80"/>
        <v>2.4774541113373676</v>
      </c>
      <c r="AK143" s="78">
        <f t="shared" si="80"/>
        <v>2.6117307001555914</v>
      </c>
    </row>
    <row r="144" spans="3:5" ht="12.75">
      <c r="C144" s="3"/>
      <c r="D144" s="73" t="s">
        <v>89</v>
      </c>
      <c r="E144" t="s">
        <v>92</v>
      </c>
    </row>
    <row r="145" spans="3:37" ht="12.75">
      <c r="C145" t="str">
        <f>CONCATENATE("Total Annual Operating Cost Difference @ ",E19)</f>
        <v>Total Annual Operating Cost Difference @ 0.027</v>
      </c>
      <c r="D145" s="11">
        <f>IRR(E145:AK145)</f>
        <v>0.08208904835404729</v>
      </c>
      <c r="E145" s="13">
        <f>-G6</f>
        <v>-18284520</v>
      </c>
      <c r="F145" s="18">
        <f aca="true" t="shared" si="81" ref="F145:I146">F141-F87</f>
        <v>-528941.7857241314</v>
      </c>
      <c r="G145" s="18">
        <f t="shared" si="81"/>
        <v>-445508.3651063666</v>
      </c>
      <c r="H145" s="18">
        <f t="shared" si="81"/>
        <v>-395198.97309284844</v>
      </c>
      <c r="I145" s="18">
        <f t="shared" si="81"/>
        <v>-370092.419854152</v>
      </c>
      <c r="J145" s="18">
        <f aca="true" t="shared" si="82" ref="J145:AK145">J141-J87</f>
        <v>-254829.7943547126</v>
      </c>
      <c r="K145" s="18">
        <f t="shared" si="82"/>
        <v>-170591.24476787914</v>
      </c>
      <c r="L145" s="18">
        <f t="shared" si="82"/>
        <v>-281806.85195311345</v>
      </c>
      <c r="M145" s="18">
        <f t="shared" si="82"/>
        <v>-127371.9866926726</v>
      </c>
      <c r="N145" s="18">
        <f t="shared" si="82"/>
        <v>-1391.9694069530815</v>
      </c>
      <c r="O145" s="18">
        <f t="shared" si="82"/>
        <v>-316874.9474413395</v>
      </c>
      <c r="P145" s="18">
        <f t="shared" si="82"/>
        <v>-157859.741706457</v>
      </c>
      <c r="Q145" s="18">
        <f t="shared" si="82"/>
        <v>72182.85211583786</v>
      </c>
      <c r="R145" s="18">
        <f t="shared" si="82"/>
        <v>130688.62361903302</v>
      </c>
      <c r="S145" s="18">
        <f t="shared" si="82"/>
        <v>406545.74902703986</v>
      </c>
      <c r="T145" s="18">
        <f t="shared" si="82"/>
        <v>1027509.8860118184</v>
      </c>
      <c r="U145" s="18">
        <f t="shared" si="82"/>
        <v>2807374.8352554385</v>
      </c>
      <c r="V145" s="18">
        <f t="shared" si="82"/>
        <v>3560181.262239799</v>
      </c>
      <c r="W145" s="18">
        <f t="shared" si="82"/>
        <v>4034749.1125182807</v>
      </c>
      <c r="X145" s="18">
        <f t="shared" si="82"/>
        <v>4535422.0946962945</v>
      </c>
      <c r="Y145" s="18">
        <f t="shared" si="82"/>
        <v>5092164.898511553</v>
      </c>
      <c r="Z145" s="18">
        <f t="shared" si="82"/>
        <v>5641211.598705957</v>
      </c>
      <c r="AA145" s="18">
        <f t="shared" si="82"/>
        <v>6365526.728544377</v>
      </c>
      <c r="AB145" s="18">
        <f t="shared" si="82"/>
        <v>7007045.563977474</v>
      </c>
      <c r="AC145" s="18">
        <f t="shared" si="82"/>
        <v>7794021.614907246</v>
      </c>
      <c r="AD145" s="18">
        <f t="shared" si="82"/>
        <v>8640341.383971281</v>
      </c>
      <c r="AE145" s="18">
        <f t="shared" si="82"/>
        <v>9646090.661954839</v>
      </c>
      <c r="AF145" s="18">
        <f t="shared" si="82"/>
        <v>10572198.64027736</v>
      </c>
      <c r="AG145" s="18">
        <f t="shared" si="82"/>
        <v>11725283.289285984</v>
      </c>
      <c r="AH145" s="18">
        <f t="shared" si="82"/>
        <v>12913591.453018479</v>
      </c>
      <c r="AI145" s="18">
        <f t="shared" si="82"/>
        <v>11006691.110453378</v>
      </c>
      <c r="AJ145" s="18">
        <f t="shared" si="82"/>
        <v>17283094.738848757</v>
      </c>
      <c r="AK145" s="18">
        <f t="shared" si="82"/>
        <v>22794183.774848975</v>
      </c>
    </row>
    <row r="146" spans="3:37" ht="12.75">
      <c r="C146" t="str">
        <f>CONCATENATE("Total Annual Operating Cost Difference @ ",E20)</f>
        <v>Total Annual Operating Cost Difference @ 0.1</v>
      </c>
      <c r="D146" s="11">
        <f>IRR(E146:AK146)</f>
        <v>0.19952391793292024</v>
      </c>
      <c r="E146" s="13">
        <f>-G6</f>
        <v>-18284520</v>
      </c>
      <c r="F146" s="18">
        <f t="shared" si="81"/>
        <v>-528941.7857241314</v>
      </c>
      <c r="G146" s="18">
        <f t="shared" si="81"/>
        <v>-390769.58730607387</v>
      </c>
      <c r="H146" s="18">
        <f t="shared" si="81"/>
        <v>-179528.91532894038</v>
      </c>
      <c r="I146" s="18">
        <f t="shared" si="81"/>
        <v>70178.32575993054</v>
      </c>
      <c r="J146" s="18">
        <f aca="true" t="shared" si="83" ref="J146:AK146">J142-J88</f>
        <v>410916.4377652146</v>
      </c>
      <c r="K146" s="18">
        <f t="shared" si="83"/>
        <v>810084.8526060507</v>
      </c>
      <c r="L146" s="18">
        <f t="shared" si="83"/>
        <v>1112414.5085431803</v>
      </c>
      <c r="M146" s="18">
        <f t="shared" si="83"/>
        <v>1708689.2862661052</v>
      </c>
      <c r="N146" s="18">
        <f t="shared" si="83"/>
        <v>2451002.507311797</v>
      </c>
      <c r="O146" s="18">
        <f t="shared" si="83"/>
        <v>2855456.292264549</v>
      </c>
      <c r="P146" s="18">
        <f t="shared" si="83"/>
        <v>3912862.574426312</v>
      </c>
      <c r="Q146" s="18">
        <f t="shared" si="83"/>
        <v>5231481.787245661</v>
      </c>
      <c r="R146" s="18">
        <f t="shared" si="83"/>
        <v>6627164.005007468</v>
      </c>
      <c r="S146" s="18">
        <f t="shared" si="83"/>
        <v>8546098.117356848</v>
      </c>
      <c r="T146" s="18">
        <f t="shared" si="83"/>
        <v>11142585.642660312</v>
      </c>
      <c r="U146" s="18">
        <f t="shared" si="83"/>
        <v>15285736.364307921</v>
      </c>
      <c r="V146" s="18">
        <f t="shared" si="83"/>
        <v>18582643.819230083</v>
      </c>
      <c r="W146" s="18">
        <f t="shared" si="83"/>
        <v>22562894.148734797</v>
      </c>
      <c r="X146" s="18">
        <f t="shared" si="83"/>
        <v>27241196.579913713</v>
      </c>
      <c r="Y146" s="18">
        <f t="shared" si="83"/>
        <v>32737141.80603251</v>
      </c>
      <c r="Z146" s="18">
        <f t="shared" si="83"/>
        <v>39191410.61296301</v>
      </c>
      <c r="AA146" s="18">
        <f t="shared" si="83"/>
        <v>46732735.61039343</v>
      </c>
      <c r="AB146" s="18">
        <f t="shared" si="83"/>
        <v>55573099.863672845</v>
      </c>
      <c r="AC146" s="18">
        <f t="shared" si="83"/>
        <v>65930888.672702335</v>
      </c>
      <c r="AD146" s="18">
        <f t="shared" si="83"/>
        <v>77981881.09913686</v>
      </c>
      <c r="AE146" s="18">
        <f t="shared" si="83"/>
        <v>92151508.95651168</v>
      </c>
      <c r="AF146" s="18">
        <f t="shared" si="83"/>
        <v>108630607.0904275</v>
      </c>
      <c r="AG146" s="18">
        <f t="shared" si="83"/>
        <v>127709353.00270773</v>
      </c>
      <c r="AH146" s="18">
        <f t="shared" si="83"/>
        <v>150004508.84758782</v>
      </c>
      <c r="AI146" s="18">
        <f t="shared" si="83"/>
        <v>172839291.4123487</v>
      </c>
      <c r="AJ146" s="18">
        <f t="shared" si="83"/>
        <v>207963517.11292708</v>
      </c>
      <c r="AK146" s="18">
        <f t="shared" si="83"/>
        <v>247043437.9425543</v>
      </c>
    </row>
    <row r="147" ht="12.75">
      <c r="D147" s="73" t="s">
        <v>90</v>
      </c>
    </row>
    <row r="148" spans="3:37" ht="12.75">
      <c r="C148" t="s">
        <v>88</v>
      </c>
      <c r="D148" s="10">
        <f>NPV(E21,E148:AK148)</f>
        <v>-23419878.187295455</v>
      </c>
      <c r="E148" s="13">
        <f>-F6</f>
        <v>-19204998.90235183</v>
      </c>
      <c r="F148" s="18">
        <f>-F145</f>
        <v>528941.7857241314</v>
      </c>
      <c r="G148" s="18">
        <f aca="true" t="shared" si="84" ref="G148:AK148">-G145</f>
        <v>445508.3651063666</v>
      </c>
      <c r="H148" s="18">
        <f t="shared" si="84"/>
        <v>395198.97309284844</v>
      </c>
      <c r="I148" s="18">
        <f t="shared" si="84"/>
        <v>370092.419854152</v>
      </c>
      <c r="J148" s="18">
        <f t="shared" si="84"/>
        <v>254829.7943547126</v>
      </c>
      <c r="K148" s="18">
        <f t="shared" si="84"/>
        <v>170591.24476787914</v>
      </c>
      <c r="L148" s="18">
        <f t="shared" si="84"/>
        <v>281806.85195311345</v>
      </c>
      <c r="M148" s="18">
        <f t="shared" si="84"/>
        <v>127371.9866926726</v>
      </c>
      <c r="N148" s="18">
        <f t="shared" si="84"/>
        <v>1391.9694069530815</v>
      </c>
      <c r="O148" s="18">
        <f t="shared" si="84"/>
        <v>316874.9474413395</v>
      </c>
      <c r="P148" s="18">
        <f t="shared" si="84"/>
        <v>157859.741706457</v>
      </c>
      <c r="Q148" s="18">
        <f t="shared" si="84"/>
        <v>-72182.85211583786</v>
      </c>
      <c r="R148" s="18">
        <f t="shared" si="84"/>
        <v>-130688.62361903302</v>
      </c>
      <c r="S148" s="18">
        <f t="shared" si="84"/>
        <v>-406545.74902703986</v>
      </c>
      <c r="T148" s="18">
        <f t="shared" si="84"/>
        <v>-1027509.8860118184</v>
      </c>
      <c r="U148" s="18">
        <f t="shared" si="84"/>
        <v>-2807374.8352554385</v>
      </c>
      <c r="V148" s="18">
        <f t="shared" si="84"/>
        <v>-3560181.262239799</v>
      </c>
      <c r="W148" s="18">
        <f t="shared" si="84"/>
        <v>-4034749.1125182807</v>
      </c>
      <c r="X148" s="18">
        <f t="shared" si="84"/>
        <v>-4535422.0946962945</v>
      </c>
      <c r="Y148" s="18">
        <f t="shared" si="84"/>
        <v>-5092164.898511553</v>
      </c>
      <c r="Z148" s="18">
        <f t="shared" si="84"/>
        <v>-5641211.598705957</v>
      </c>
      <c r="AA148" s="18">
        <f t="shared" si="84"/>
        <v>-6365526.728544377</v>
      </c>
      <c r="AB148" s="18">
        <f t="shared" si="84"/>
        <v>-7007045.563977474</v>
      </c>
      <c r="AC148" s="18">
        <f t="shared" si="84"/>
        <v>-7794021.614907246</v>
      </c>
      <c r="AD148" s="18">
        <f t="shared" si="84"/>
        <v>-8640341.383971281</v>
      </c>
      <c r="AE148" s="18">
        <f t="shared" si="84"/>
        <v>-9646090.661954839</v>
      </c>
      <c r="AF148" s="18">
        <f t="shared" si="84"/>
        <v>-10572198.64027736</v>
      </c>
      <c r="AG148" s="18">
        <f t="shared" si="84"/>
        <v>-11725283.289285984</v>
      </c>
      <c r="AH148" s="18">
        <f t="shared" si="84"/>
        <v>-12913591.453018479</v>
      </c>
      <c r="AI148" s="18">
        <f t="shared" si="84"/>
        <v>-11006691.110453378</v>
      </c>
      <c r="AJ148" s="18">
        <f t="shared" si="84"/>
        <v>-17283094.738848757</v>
      </c>
      <c r="AK148" s="18">
        <f t="shared" si="84"/>
        <v>-22794183.774848975</v>
      </c>
    </row>
    <row r="149" spans="4:37" ht="12.75">
      <c r="D149" s="10">
        <f>NPV(E22,E149:AK149)</f>
        <v>-168613373.6728011</v>
      </c>
      <c r="E149" s="13">
        <f>-F6</f>
        <v>-19204998.90235183</v>
      </c>
      <c r="F149" s="18">
        <f>-F146</f>
        <v>528941.7857241314</v>
      </c>
      <c r="G149" s="18">
        <f aca="true" t="shared" si="85" ref="G149:AK149">-G146</f>
        <v>390769.58730607387</v>
      </c>
      <c r="H149" s="18">
        <f t="shared" si="85"/>
        <v>179528.91532894038</v>
      </c>
      <c r="I149" s="18">
        <f t="shared" si="85"/>
        <v>-70178.32575993054</v>
      </c>
      <c r="J149" s="18">
        <f t="shared" si="85"/>
        <v>-410916.4377652146</v>
      </c>
      <c r="K149" s="18">
        <f t="shared" si="85"/>
        <v>-810084.8526060507</v>
      </c>
      <c r="L149" s="18">
        <f t="shared" si="85"/>
        <v>-1112414.5085431803</v>
      </c>
      <c r="M149" s="18">
        <f t="shared" si="85"/>
        <v>-1708689.2862661052</v>
      </c>
      <c r="N149" s="18">
        <f t="shared" si="85"/>
        <v>-2451002.507311797</v>
      </c>
      <c r="O149" s="18">
        <f t="shared" si="85"/>
        <v>-2855456.292264549</v>
      </c>
      <c r="P149" s="18">
        <f t="shared" si="85"/>
        <v>-3912862.574426312</v>
      </c>
      <c r="Q149" s="18">
        <f t="shared" si="85"/>
        <v>-5231481.787245661</v>
      </c>
      <c r="R149" s="18">
        <f t="shared" si="85"/>
        <v>-6627164.005007468</v>
      </c>
      <c r="S149" s="18">
        <f t="shared" si="85"/>
        <v>-8546098.117356848</v>
      </c>
      <c r="T149" s="18">
        <f t="shared" si="85"/>
        <v>-11142585.642660312</v>
      </c>
      <c r="U149" s="18">
        <f t="shared" si="85"/>
        <v>-15285736.364307921</v>
      </c>
      <c r="V149" s="18">
        <f t="shared" si="85"/>
        <v>-18582643.819230083</v>
      </c>
      <c r="W149" s="18">
        <f t="shared" si="85"/>
        <v>-22562894.148734797</v>
      </c>
      <c r="X149" s="18">
        <f t="shared" si="85"/>
        <v>-27241196.579913713</v>
      </c>
      <c r="Y149" s="18">
        <f t="shared" si="85"/>
        <v>-32737141.80603251</v>
      </c>
      <c r="Z149" s="18">
        <f t="shared" si="85"/>
        <v>-39191410.61296301</v>
      </c>
      <c r="AA149" s="18">
        <f t="shared" si="85"/>
        <v>-46732735.61039343</v>
      </c>
      <c r="AB149" s="18">
        <f t="shared" si="85"/>
        <v>-55573099.863672845</v>
      </c>
      <c r="AC149" s="18">
        <f t="shared" si="85"/>
        <v>-65930888.672702335</v>
      </c>
      <c r="AD149" s="18">
        <f t="shared" si="85"/>
        <v>-77981881.09913686</v>
      </c>
      <c r="AE149" s="18">
        <f t="shared" si="85"/>
        <v>-92151508.95651168</v>
      </c>
      <c r="AF149" s="18">
        <f t="shared" si="85"/>
        <v>-108630607.0904275</v>
      </c>
      <c r="AG149" s="18">
        <f t="shared" si="85"/>
        <v>-127709353.00270773</v>
      </c>
      <c r="AH149" s="18">
        <f t="shared" si="85"/>
        <v>-150004508.84758782</v>
      </c>
      <c r="AI149" s="18">
        <f t="shared" si="85"/>
        <v>-172839291.4123487</v>
      </c>
      <c r="AJ149" s="18">
        <f t="shared" si="85"/>
        <v>-207963517.11292708</v>
      </c>
      <c r="AK149" s="18">
        <f t="shared" si="85"/>
        <v>-247043437.9425543</v>
      </c>
    </row>
    <row r="150" spans="3:4" ht="12.75">
      <c r="C150" t="s">
        <v>91</v>
      </c>
      <c r="D150" s="9">
        <f>(E148-D148)/E148</f>
        <v>-0.21946782222557035</v>
      </c>
    </row>
    <row r="151" spans="3:6" ht="12.75">
      <c r="C151" t="s">
        <v>91</v>
      </c>
      <c r="D151" s="9">
        <f>(E149-D149)/E149</f>
        <v>-7.779660677416277</v>
      </c>
      <c r="F151" s="11"/>
    </row>
    <row r="152" spans="4:8" ht="12.75">
      <c r="D152" s="9"/>
      <c r="H152" s="8"/>
    </row>
    <row r="153" spans="8:10" ht="12.75">
      <c r="H153" s="13"/>
      <c r="I153" s="13"/>
      <c r="J153" s="13"/>
    </row>
    <row r="154" spans="7:8" ht="12.75">
      <c r="G154" s="8"/>
      <c r="H154" s="8"/>
    </row>
    <row r="155" spans="7:10" ht="12.75">
      <c r="G155" s="9"/>
      <c r="H155" s="9"/>
      <c r="I155" s="9"/>
      <c r="J155" s="9"/>
    </row>
    <row r="156" ht="12.75">
      <c r="H156" s="13"/>
    </row>
    <row r="158" ht="12.75">
      <c r="H158" s="91"/>
    </row>
  </sheetData>
  <sheetProtection/>
  <mergeCells count="3">
    <mergeCell ref="C2:AK3"/>
    <mergeCell ref="A2:A3"/>
    <mergeCell ref="B2:B3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1">
      <selection activeCell="D42" sqref="D42:AI42"/>
    </sheetView>
  </sheetViews>
  <sheetFormatPr defaultColWidth="9.140625" defaultRowHeight="12.75"/>
  <cols>
    <col min="1" max="1" width="2.8515625" style="0" customWidth="1"/>
    <col min="2" max="2" width="21.8515625" style="0" customWidth="1"/>
    <col min="3" max="3" width="18.28125" style="0" customWidth="1"/>
    <col min="4" max="4" width="18.140625" style="0" customWidth="1"/>
    <col min="5" max="5" width="11.140625" style="0" bestFit="1" customWidth="1"/>
    <col min="7" max="7" width="10.7109375" style="0" bestFit="1" customWidth="1"/>
  </cols>
  <sheetData>
    <row r="1" ht="16.5" customHeight="1"/>
    <row r="2" spans="2:11" ht="12.75">
      <c r="B2" s="121" t="s">
        <v>58</v>
      </c>
      <c r="C2" s="129"/>
      <c r="D2" s="129"/>
      <c r="E2" s="129"/>
      <c r="F2" s="129"/>
      <c r="G2" s="129"/>
      <c r="H2" s="129"/>
      <c r="I2" s="129"/>
      <c r="J2" s="129"/>
      <c r="K2" s="130"/>
    </row>
    <row r="3" spans="2:11" ht="12.75">
      <c r="B3" s="131"/>
      <c r="C3" s="132"/>
      <c r="D3" s="132"/>
      <c r="E3" s="132"/>
      <c r="F3" s="132"/>
      <c r="G3" s="132"/>
      <c r="H3" s="132"/>
      <c r="I3" s="132"/>
      <c r="J3" s="132"/>
      <c r="K3" s="133"/>
    </row>
    <row r="5" spans="2:10" ht="12.75">
      <c r="B5" t="s">
        <v>59</v>
      </c>
      <c r="E5" t="s">
        <v>93</v>
      </c>
      <c r="G5" t="s">
        <v>82</v>
      </c>
      <c r="H5" t="s">
        <v>83</v>
      </c>
      <c r="J5" t="s">
        <v>84</v>
      </c>
    </row>
    <row r="6" spans="3:5" ht="12.75">
      <c r="C6" t="s">
        <v>60</v>
      </c>
      <c r="E6" s="13">
        <v>1530000</v>
      </c>
    </row>
    <row r="7" spans="3:5" ht="12.75">
      <c r="C7" t="s">
        <v>61</v>
      </c>
      <c r="E7" s="13">
        <v>3016000</v>
      </c>
    </row>
    <row r="8" spans="3:5" ht="12.75">
      <c r="C8" t="s">
        <v>62</v>
      </c>
      <c r="E8" s="13">
        <v>2454000</v>
      </c>
    </row>
    <row r="9" spans="4:5" ht="12.75">
      <c r="D9" t="s">
        <v>63</v>
      </c>
      <c r="E9" s="13">
        <f>SUM(E6:E8)</f>
        <v>7000000</v>
      </c>
    </row>
    <row r="11" spans="3:5" ht="12.75">
      <c r="C11" t="s">
        <v>64</v>
      </c>
      <c r="E11" s="10">
        <v>875000</v>
      </c>
    </row>
    <row r="12" spans="3:5" ht="12.75">
      <c r="C12" t="s">
        <v>65</v>
      </c>
      <c r="E12" s="10">
        <v>1595000</v>
      </c>
    </row>
    <row r="13" spans="4:5" ht="12.75">
      <c r="D13" t="s">
        <v>66</v>
      </c>
      <c r="E13" s="10">
        <f>SUM(E11:E12)</f>
        <v>2470000</v>
      </c>
    </row>
    <row r="14" spans="4:5" ht="12.75">
      <c r="D14" t="s">
        <v>67</v>
      </c>
      <c r="E14" s="44">
        <f>E9+E13</f>
        <v>9470000</v>
      </c>
    </row>
    <row r="16" ht="12.75">
      <c r="B16" t="s">
        <v>68</v>
      </c>
    </row>
    <row r="17" spans="3:5" ht="12.75">
      <c r="C17" t="s">
        <v>74</v>
      </c>
      <c r="E17" s="8">
        <v>349000</v>
      </c>
    </row>
    <row r="18" spans="3:5" ht="12.75">
      <c r="C18" t="s">
        <v>69</v>
      </c>
      <c r="E18" s="8">
        <v>689000</v>
      </c>
    </row>
    <row r="19" spans="3:5" ht="12.75">
      <c r="C19" t="s">
        <v>70</v>
      </c>
      <c r="E19" s="8">
        <v>187000</v>
      </c>
    </row>
    <row r="20" spans="4:7" ht="12.75">
      <c r="D20" t="s">
        <v>71</v>
      </c>
      <c r="E20" s="44">
        <f>SUM(E17:E19)</f>
        <v>1225000</v>
      </c>
      <c r="G20" s="45">
        <v>252000</v>
      </c>
    </row>
    <row r="21" ht="12.75">
      <c r="G21" s="46"/>
    </row>
    <row r="22" spans="2:7" ht="12.75">
      <c r="B22" t="s">
        <v>72</v>
      </c>
      <c r="G22" s="46"/>
    </row>
    <row r="23" spans="3:7" ht="12.75">
      <c r="C23" t="s">
        <v>73</v>
      </c>
      <c r="E23" s="8">
        <v>122000</v>
      </c>
      <c r="G23" s="46"/>
    </row>
    <row r="24" spans="3:7" ht="12.75">
      <c r="C24" t="s">
        <v>69</v>
      </c>
      <c r="E24" s="8">
        <v>771000</v>
      </c>
      <c r="G24" s="46"/>
    </row>
    <row r="25" spans="3:7" ht="12.75">
      <c r="C25" t="s">
        <v>70</v>
      </c>
      <c r="E25" s="8">
        <v>425000</v>
      </c>
      <c r="G25" s="46"/>
    </row>
    <row r="26" spans="4:10" ht="12.75">
      <c r="D26" t="s">
        <v>75</v>
      </c>
      <c r="E26" s="44">
        <f>SUM(E23:E25)</f>
        <v>1318000</v>
      </c>
      <c r="G26" s="45">
        <v>1606000</v>
      </c>
      <c r="J26" s="10">
        <v>920000</v>
      </c>
    </row>
    <row r="27" ht="12.75">
      <c r="G27" s="46"/>
    </row>
    <row r="28" spans="4:10" ht="12.75">
      <c r="D28" t="s">
        <v>76</v>
      </c>
      <c r="E28" s="44">
        <f>E14+E20+E26</f>
        <v>12013000</v>
      </c>
      <c r="G28" s="45">
        <f>SUM(G20+G26)</f>
        <v>1858000</v>
      </c>
      <c r="J28" s="45">
        <f>J26</f>
        <v>920000</v>
      </c>
    </row>
    <row r="30" spans="2:5" ht="12.75">
      <c r="B30" t="s">
        <v>77</v>
      </c>
      <c r="C30" t="s">
        <v>78</v>
      </c>
      <c r="E30" s="10">
        <v>100000</v>
      </c>
    </row>
    <row r="31" spans="3:5" ht="12.75">
      <c r="C31" t="s">
        <v>79</v>
      </c>
      <c r="E31" s="10">
        <v>140000</v>
      </c>
    </row>
    <row r="32" spans="4:5" ht="12.75">
      <c r="D32" t="s">
        <v>80</v>
      </c>
      <c r="E32" s="10">
        <f>SUM(E30:E31)</f>
        <v>240000</v>
      </c>
    </row>
    <row r="34" spans="4:5" ht="12.75">
      <c r="D34" t="s">
        <v>81</v>
      </c>
      <c r="E34" s="44">
        <f>E28-E32</f>
        <v>11773000</v>
      </c>
    </row>
  </sheetData>
  <sheetProtection/>
  <mergeCells count="1">
    <mergeCell ref="B2:K3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R15" sqref="R15"/>
    </sheetView>
  </sheetViews>
  <sheetFormatPr defaultColWidth="9.140625" defaultRowHeight="12.75"/>
  <sheetData>
    <row r="2" spans="2:16" ht="14.25" thickBot="1">
      <c r="B2" s="139" t="s">
        <v>147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</row>
    <row r="3" spans="2:16" ht="18">
      <c r="B3" s="93"/>
      <c r="C3" s="94" t="s">
        <v>148</v>
      </c>
      <c r="D3" s="94" t="s">
        <v>149</v>
      </c>
      <c r="E3" s="94" t="s">
        <v>150</v>
      </c>
      <c r="F3" s="94" t="s">
        <v>151</v>
      </c>
      <c r="G3" s="94" t="s">
        <v>152</v>
      </c>
      <c r="H3" s="94" t="s">
        <v>153</v>
      </c>
      <c r="I3" s="94" t="s">
        <v>154</v>
      </c>
      <c r="J3" s="94" t="s">
        <v>155</v>
      </c>
      <c r="K3" s="94" t="s">
        <v>156</v>
      </c>
      <c r="L3" s="94" t="s">
        <v>157</v>
      </c>
      <c r="M3" s="94" t="s">
        <v>158</v>
      </c>
      <c r="N3" s="95" t="s">
        <v>159</v>
      </c>
      <c r="O3" s="95" t="s">
        <v>160</v>
      </c>
      <c r="P3" s="96" t="s">
        <v>161</v>
      </c>
    </row>
    <row r="4" spans="2:16" ht="15">
      <c r="B4" s="97" t="s">
        <v>162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9"/>
      <c r="P4" s="99"/>
    </row>
    <row r="5" spans="2:16" ht="16.5">
      <c r="B5" s="100" t="s">
        <v>163</v>
      </c>
      <c r="C5" s="101">
        <v>108.4</v>
      </c>
      <c r="D5" s="101">
        <v>120.1</v>
      </c>
      <c r="E5" s="101">
        <v>112</v>
      </c>
      <c r="F5" s="101">
        <v>104.7</v>
      </c>
      <c r="G5" s="101">
        <v>102.7</v>
      </c>
      <c r="H5" s="101">
        <v>99</v>
      </c>
      <c r="I5" s="101">
        <v>95.7</v>
      </c>
      <c r="J5" s="101">
        <v>100.5</v>
      </c>
      <c r="K5" s="101">
        <v>111.6</v>
      </c>
      <c r="L5" s="101">
        <v>112.8</v>
      </c>
      <c r="M5" s="101">
        <v>97.5</v>
      </c>
      <c r="N5" s="102">
        <v>105.9</v>
      </c>
      <c r="O5" s="103" t="s">
        <v>164</v>
      </c>
      <c r="P5" s="101">
        <v>132.2</v>
      </c>
    </row>
    <row r="6" spans="2:16" ht="16.5">
      <c r="B6" s="100" t="s">
        <v>165</v>
      </c>
      <c r="C6" s="101">
        <v>86.8</v>
      </c>
      <c r="D6" s="101">
        <v>79.6</v>
      </c>
      <c r="E6" s="101">
        <v>76.6</v>
      </c>
      <c r="F6" s="101">
        <v>65.2</v>
      </c>
      <c r="G6" s="101">
        <v>61</v>
      </c>
      <c r="H6" s="101">
        <v>58</v>
      </c>
      <c r="I6" s="101">
        <v>53.4</v>
      </c>
      <c r="J6" s="101">
        <v>54</v>
      </c>
      <c r="K6" s="101">
        <v>65.1</v>
      </c>
      <c r="L6" s="101">
        <v>61.3</v>
      </c>
      <c r="M6" s="101">
        <v>45.2</v>
      </c>
      <c r="N6" s="104">
        <v>54.3</v>
      </c>
      <c r="O6" s="103" t="s">
        <v>166</v>
      </c>
      <c r="P6" s="101">
        <v>77.6</v>
      </c>
    </row>
    <row r="7" spans="2:16" ht="15">
      <c r="B7" s="97" t="s">
        <v>167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99"/>
      <c r="O7" s="99"/>
      <c r="P7" s="99"/>
    </row>
    <row r="8" spans="2:16" ht="16.5">
      <c r="B8" s="100" t="s">
        <v>168</v>
      </c>
      <c r="C8" s="101" t="s">
        <v>169</v>
      </c>
      <c r="D8" s="101">
        <v>134</v>
      </c>
      <c r="E8" s="101">
        <v>134.9</v>
      </c>
      <c r="F8" s="101">
        <v>132.1</v>
      </c>
      <c r="G8" s="101">
        <v>131.6</v>
      </c>
      <c r="H8" s="101">
        <v>130.2</v>
      </c>
      <c r="I8" s="101">
        <v>130.5</v>
      </c>
      <c r="J8" s="101">
        <v>133.6</v>
      </c>
      <c r="K8" s="101">
        <v>141.3</v>
      </c>
      <c r="L8" s="101">
        <v>141.6</v>
      </c>
      <c r="M8" s="101">
        <v>125</v>
      </c>
      <c r="N8" s="106">
        <v>135.7</v>
      </c>
      <c r="O8" s="106">
        <v>169.3</v>
      </c>
      <c r="P8" s="106">
        <v>165.7</v>
      </c>
    </row>
    <row r="9" spans="2:16" ht="16.5">
      <c r="B9" s="100" t="s">
        <v>170</v>
      </c>
      <c r="C9" s="101">
        <v>124.5</v>
      </c>
      <c r="D9" s="101">
        <v>120.2</v>
      </c>
      <c r="E9" s="101">
        <v>116.4</v>
      </c>
      <c r="F9" s="101">
        <v>114</v>
      </c>
      <c r="G9" s="101">
        <v>112.7</v>
      </c>
      <c r="H9" s="101">
        <v>110.8</v>
      </c>
      <c r="I9" s="101">
        <v>111.2</v>
      </c>
      <c r="J9" s="101">
        <v>114.7</v>
      </c>
      <c r="K9" s="101">
        <v>123.1</v>
      </c>
      <c r="L9" s="101">
        <v>123.4</v>
      </c>
      <c r="M9" s="101">
        <v>105.9</v>
      </c>
      <c r="N9" s="106">
        <v>116.5</v>
      </c>
      <c r="O9" s="106">
        <v>151</v>
      </c>
      <c r="P9" s="106">
        <v>146.1</v>
      </c>
    </row>
    <row r="10" spans="2:16" ht="14.25">
      <c r="B10" s="107" t="s">
        <v>171</v>
      </c>
      <c r="C10" s="101">
        <v>122.1</v>
      </c>
      <c r="D10" s="101">
        <v>119.6</v>
      </c>
      <c r="E10" s="101">
        <v>121.7</v>
      </c>
      <c r="F10" s="101">
        <v>119.6</v>
      </c>
      <c r="G10" s="101">
        <v>119</v>
      </c>
      <c r="H10" s="101">
        <v>117.3</v>
      </c>
      <c r="I10" s="101">
        <v>117.4</v>
      </c>
      <c r="J10" s="101">
        <v>120.5</v>
      </c>
      <c r="K10" s="101">
        <v>128.8</v>
      </c>
      <c r="L10" s="101">
        <v>129.1</v>
      </c>
      <c r="M10" s="101">
        <v>111.5</v>
      </c>
      <c r="N10" s="106">
        <v>122.1</v>
      </c>
      <c r="O10" s="106">
        <v>156.3</v>
      </c>
      <c r="P10" s="106">
        <v>153.1</v>
      </c>
    </row>
    <row r="11" spans="2:16" ht="16.5">
      <c r="B11" s="100" t="s">
        <v>172</v>
      </c>
      <c r="C11" s="101">
        <v>81.8</v>
      </c>
      <c r="D11" s="101">
        <v>78.9</v>
      </c>
      <c r="E11" s="101">
        <v>72.5</v>
      </c>
      <c r="F11" s="101">
        <v>64.8</v>
      </c>
      <c r="G11" s="101">
        <v>61.9</v>
      </c>
      <c r="H11" s="101">
        <v>60.2</v>
      </c>
      <c r="I11" s="101">
        <v>55.4</v>
      </c>
      <c r="J11" s="101">
        <v>56</v>
      </c>
      <c r="K11" s="101">
        <v>68.1</v>
      </c>
      <c r="L11" s="101">
        <v>64.2</v>
      </c>
      <c r="M11" s="101">
        <v>49.4</v>
      </c>
      <c r="N11" s="104">
        <v>58.4</v>
      </c>
      <c r="O11" s="103" t="s">
        <v>173</v>
      </c>
      <c r="P11" s="101">
        <v>84.2</v>
      </c>
    </row>
    <row r="12" spans="2:16" ht="15">
      <c r="B12" s="97" t="s">
        <v>174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99"/>
      <c r="P12" s="99"/>
    </row>
    <row r="13" spans="2:16" ht="15" thickBot="1">
      <c r="B13" s="108" t="s">
        <v>175</v>
      </c>
      <c r="C13" s="109">
        <v>82.64</v>
      </c>
      <c r="D13" s="109">
        <v>77.76</v>
      </c>
      <c r="E13" s="109">
        <v>69.22</v>
      </c>
      <c r="F13" s="109">
        <v>67.24</v>
      </c>
      <c r="G13" s="109">
        <v>63.29</v>
      </c>
      <c r="H13" s="109">
        <v>63.05</v>
      </c>
      <c r="I13" s="109">
        <v>59.87</v>
      </c>
      <c r="J13" s="109">
        <v>60.01</v>
      </c>
      <c r="K13" s="109">
        <v>67.66</v>
      </c>
      <c r="L13" s="109">
        <v>67.82</v>
      </c>
      <c r="M13" s="109">
        <v>57</v>
      </c>
      <c r="N13" s="110">
        <v>55.45</v>
      </c>
      <c r="O13" s="110">
        <v>87.46</v>
      </c>
      <c r="P13" s="110">
        <v>85.43</v>
      </c>
    </row>
    <row r="14" spans="2:16" ht="12.75">
      <c r="B14" s="142" t="s">
        <v>176</v>
      </c>
      <c r="C14" s="142"/>
      <c r="D14" s="142"/>
      <c r="E14" s="142"/>
      <c r="F14" s="142"/>
      <c r="G14" s="142"/>
      <c r="H14" s="142"/>
      <c r="I14" s="111"/>
      <c r="J14" s="111"/>
      <c r="K14" s="111"/>
      <c r="L14" s="111"/>
      <c r="M14" s="111"/>
      <c r="N14" s="112"/>
      <c r="O14" s="112"/>
      <c r="P14" s="112"/>
    </row>
    <row r="15" spans="2:16" ht="12.75">
      <c r="B15" s="113"/>
      <c r="C15" s="113"/>
      <c r="D15" s="113"/>
      <c r="E15" s="113"/>
      <c r="F15" s="113"/>
      <c r="G15" s="113"/>
      <c r="H15" s="113"/>
      <c r="I15" s="111"/>
      <c r="J15" s="111"/>
      <c r="K15" s="111"/>
      <c r="L15" s="111"/>
      <c r="M15" s="111"/>
      <c r="N15" s="112"/>
      <c r="O15" s="112"/>
      <c r="P15" s="112"/>
    </row>
    <row r="16" spans="2:16" ht="12.75">
      <c r="B16" s="143" t="s">
        <v>177</v>
      </c>
      <c r="C16" s="144"/>
      <c r="D16" s="144"/>
      <c r="E16" s="144"/>
      <c r="F16" s="144"/>
      <c r="G16" s="144"/>
      <c r="H16" s="144"/>
      <c r="I16" s="114"/>
      <c r="J16" s="114"/>
      <c r="K16" s="114"/>
      <c r="L16" s="114"/>
      <c r="M16" s="114"/>
      <c r="N16" s="115"/>
      <c r="O16" s="115"/>
      <c r="P16" s="112"/>
    </row>
    <row r="17" spans="2:16" ht="13.5">
      <c r="B17" s="116" t="s">
        <v>178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2:16" ht="13.5">
      <c r="B18" s="116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2:16" ht="12.75">
      <c r="B19" s="145" t="s">
        <v>179</v>
      </c>
      <c r="C19" s="145"/>
      <c r="D19" s="145"/>
      <c r="E19" s="145"/>
      <c r="F19" s="145"/>
      <c r="G19" s="145"/>
      <c r="H19" s="145"/>
      <c r="I19" s="118"/>
      <c r="J19" s="118"/>
      <c r="K19" s="118"/>
      <c r="L19" s="118"/>
      <c r="M19" s="112"/>
      <c r="N19" s="112"/>
      <c r="O19" s="112"/>
      <c r="P19" s="112"/>
    </row>
    <row r="20" spans="2:16" ht="48">
      <c r="B20" s="117" t="s">
        <v>180</v>
      </c>
      <c r="C20" s="117"/>
      <c r="D20" s="117"/>
      <c r="E20" s="117"/>
      <c r="F20" s="117"/>
      <c r="G20" s="117"/>
      <c r="H20" s="117"/>
      <c r="I20" s="118"/>
      <c r="J20" s="118"/>
      <c r="K20" s="118"/>
      <c r="L20" s="118"/>
      <c r="M20" s="112"/>
      <c r="N20" s="112"/>
      <c r="O20" s="112"/>
      <c r="P20" s="112"/>
    </row>
    <row r="21" spans="2:16" ht="12.75">
      <c r="B21" s="134" t="s">
        <v>181</v>
      </c>
      <c r="C21" s="135"/>
      <c r="D21" s="135"/>
      <c r="E21" s="135"/>
      <c r="F21" s="135"/>
      <c r="G21" s="136"/>
      <c r="H21" s="136"/>
      <c r="I21" s="119"/>
      <c r="J21" s="119"/>
      <c r="K21" s="119"/>
      <c r="L21" s="119"/>
      <c r="M21" s="119"/>
      <c r="N21" s="112"/>
      <c r="O21" s="112"/>
      <c r="P21" s="112"/>
    </row>
    <row r="22" spans="2:16" ht="12.75">
      <c r="B22" s="137" t="s">
        <v>182</v>
      </c>
      <c r="C22" s="136"/>
      <c r="D22" s="136"/>
      <c r="E22" s="136"/>
      <c r="F22" s="136"/>
      <c r="G22" s="136"/>
      <c r="H22" s="136"/>
      <c r="I22" s="120"/>
      <c r="J22" s="120"/>
      <c r="K22" s="120"/>
      <c r="L22" s="120"/>
      <c r="M22" s="112"/>
      <c r="N22" s="112"/>
      <c r="O22" s="112"/>
      <c r="P22" s="112"/>
    </row>
    <row r="23" spans="2:16" ht="12.75">
      <c r="B23" s="138" t="s">
        <v>183</v>
      </c>
      <c r="C23" s="138"/>
      <c r="D23" s="138"/>
      <c r="E23" s="138"/>
      <c r="F23" s="138"/>
      <c r="G23" s="138"/>
      <c r="H23" s="138"/>
      <c r="I23" s="119"/>
      <c r="J23" s="119"/>
      <c r="K23" s="119"/>
      <c r="L23" s="119"/>
      <c r="M23" s="119"/>
      <c r="N23" s="112"/>
      <c r="O23" s="112"/>
      <c r="P23" s="112"/>
    </row>
  </sheetData>
  <sheetProtection/>
  <mergeCells count="7">
    <mergeCell ref="B21:H21"/>
    <mergeCell ref="B22:H22"/>
    <mergeCell ref="B23:H23"/>
    <mergeCell ref="B2:P2"/>
    <mergeCell ref="B14:H14"/>
    <mergeCell ref="B16:H16"/>
    <mergeCell ref="B19:H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0" sqref="L19:L50"/>
    </sheetView>
  </sheetViews>
  <sheetFormatPr defaultColWidth="9.140625" defaultRowHeight="12.75"/>
  <sheetData>
    <row r="1" spans="1:25" ht="15.75">
      <c r="A1" s="168" t="s">
        <v>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70"/>
    </row>
    <row r="2" spans="1:25" ht="12.75">
      <c r="A2" s="171" t="s">
        <v>100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1:25" ht="12.75">
      <c r="A3" s="174" t="s">
        <v>43</v>
      </c>
      <c r="B3" s="162" t="s">
        <v>101</v>
      </c>
      <c r="C3" s="176"/>
      <c r="D3" s="176"/>
      <c r="E3" s="163"/>
      <c r="F3" s="162" t="s">
        <v>102</v>
      </c>
      <c r="G3" s="176"/>
      <c r="H3" s="176"/>
      <c r="I3" s="163"/>
      <c r="J3" s="162" t="s">
        <v>103</v>
      </c>
      <c r="K3" s="176"/>
      <c r="L3" s="176"/>
      <c r="M3" s="163"/>
      <c r="N3" s="162" t="s">
        <v>104</v>
      </c>
      <c r="O3" s="176"/>
      <c r="P3" s="176"/>
      <c r="Q3" s="163"/>
      <c r="R3" s="162" t="s">
        <v>105</v>
      </c>
      <c r="S3" s="176"/>
      <c r="T3" s="176"/>
      <c r="U3" s="163"/>
      <c r="V3" s="162" t="s">
        <v>80</v>
      </c>
      <c r="W3" s="176"/>
      <c r="X3" s="176"/>
      <c r="Y3" s="163"/>
    </row>
    <row r="4" spans="1:25" ht="12.75">
      <c r="A4" s="175"/>
      <c r="B4" s="162" t="s">
        <v>106</v>
      </c>
      <c r="C4" s="163"/>
      <c r="D4" s="162" t="s">
        <v>107</v>
      </c>
      <c r="E4" s="163"/>
      <c r="F4" s="162" t="s">
        <v>106</v>
      </c>
      <c r="G4" s="163"/>
      <c r="H4" s="162" t="s">
        <v>107</v>
      </c>
      <c r="I4" s="163"/>
      <c r="J4" s="162" t="s">
        <v>106</v>
      </c>
      <c r="K4" s="163"/>
      <c r="L4" s="162" t="s">
        <v>107</v>
      </c>
      <c r="M4" s="163"/>
      <c r="N4" s="162" t="s">
        <v>106</v>
      </c>
      <c r="O4" s="163"/>
      <c r="P4" s="162" t="s">
        <v>107</v>
      </c>
      <c r="Q4" s="163"/>
      <c r="R4" s="162" t="s">
        <v>106</v>
      </c>
      <c r="S4" s="163"/>
      <c r="T4" s="162" t="s">
        <v>107</v>
      </c>
      <c r="U4" s="163"/>
      <c r="V4" s="162" t="s">
        <v>106</v>
      </c>
      <c r="W4" s="163"/>
      <c r="X4" s="162" t="s">
        <v>107</v>
      </c>
      <c r="Y4" s="163"/>
    </row>
    <row r="5" spans="1:25" ht="12.75">
      <c r="A5" s="79">
        <v>1960</v>
      </c>
      <c r="B5" s="80">
        <v>2.6</v>
      </c>
      <c r="C5" s="81"/>
      <c r="D5" s="80">
        <v>12.4</v>
      </c>
      <c r="E5" s="81"/>
      <c r="F5" s="80">
        <v>2.4</v>
      </c>
      <c r="G5" s="81"/>
      <c r="H5" s="80">
        <v>11.4</v>
      </c>
      <c r="I5" s="81"/>
      <c r="J5" s="80">
        <v>1.1</v>
      </c>
      <c r="K5" s="81"/>
      <c r="L5" s="80">
        <v>5.2</v>
      </c>
      <c r="M5" s="81"/>
      <c r="N5" s="80" t="s">
        <v>108</v>
      </c>
      <c r="O5" s="81"/>
      <c r="P5" s="80" t="s">
        <v>108</v>
      </c>
      <c r="Q5" s="81"/>
      <c r="R5" s="80">
        <v>1.9</v>
      </c>
      <c r="S5" s="81"/>
      <c r="T5" s="80">
        <v>9</v>
      </c>
      <c r="U5" s="81"/>
      <c r="V5" s="80">
        <v>1.8</v>
      </c>
      <c r="W5" s="81"/>
      <c r="X5" s="80">
        <v>8.6</v>
      </c>
      <c r="Y5" s="81"/>
    </row>
    <row r="6" spans="1:25" ht="12.75">
      <c r="A6" s="79">
        <v>1961</v>
      </c>
      <c r="B6" s="80">
        <v>2.6</v>
      </c>
      <c r="C6" s="81"/>
      <c r="D6" s="80">
        <v>12.2</v>
      </c>
      <c r="E6" s="81"/>
      <c r="F6" s="80">
        <v>2.4</v>
      </c>
      <c r="G6" s="81"/>
      <c r="H6" s="80">
        <v>11.3</v>
      </c>
      <c r="I6" s="81"/>
      <c r="J6" s="80">
        <v>1.1</v>
      </c>
      <c r="K6" s="81"/>
      <c r="L6" s="80">
        <v>5.2</v>
      </c>
      <c r="M6" s="81"/>
      <c r="N6" s="80" t="s">
        <v>108</v>
      </c>
      <c r="O6" s="81"/>
      <c r="P6" s="80" t="s">
        <v>108</v>
      </c>
      <c r="Q6" s="81"/>
      <c r="R6" s="80">
        <v>1.8</v>
      </c>
      <c r="S6" s="81"/>
      <c r="T6" s="80">
        <v>8.5</v>
      </c>
      <c r="U6" s="81"/>
      <c r="V6" s="80">
        <v>1.8</v>
      </c>
      <c r="W6" s="81"/>
      <c r="X6" s="80">
        <v>8.5</v>
      </c>
      <c r="Y6" s="81"/>
    </row>
    <row r="7" spans="1:25" ht="12.75">
      <c r="A7" s="82">
        <v>1962</v>
      </c>
      <c r="B7" s="83">
        <v>2.6</v>
      </c>
      <c r="C7" s="84"/>
      <c r="D7" s="83">
        <v>12.1</v>
      </c>
      <c r="E7" s="84"/>
      <c r="F7" s="83">
        <v>2.4</v>
      </c>
      <c r="G7" s="84"/>
      <c r="H7" s="83">
        <v>11.1</v>
      </c>
      <c r="I7" s="84"/>
      <c r="J7" s="83">
        <v>1.1</v>
      </c>
      <c r="K7" s="84"/>
      <c r="L7" s="83">
        <v>5.1</v>
      </c>
      <c r="M7" s="84"/>
      <c r="N7" s="83" t="s">
        <v>108</v>
      </c>
      <c r="O7" s="84"/>
      <c r="P7" s="83" t="s">
        <v>108</v>
      </c>
      <c r="Q7" s="84"/>
      <c r="R7" s="83">
        <v>1.9</v>
      </c>
      <c r="S7" s="84"/>
      <c r="T7" s="83">
        <v>8.8</v>
      </c>
      <c r="U7" s="84"/>
      <c r="V7" s="83">
        <v>1.8</v>
      </c>
      <c r="W7" s="84"/>
      <c r="X7" s="83">
        <v>8.4</v>
      </c>
      <c r="Y7" s="84"/>
    </row>
    <row r="8" spans="1:25" ht="12.75">
      <c r="A8" s="79">
        <v>1963</v>
      </c>
      <c r="B8" s="80">
        <v>2.5</v>
      </c>
      <c r="C8" s="81"/>
      <c r="D8" s="80">
        <v>11.5</v>
      </c>
      <c r="E8" s="81"/>
      <c r="F8" s="80">
        <v>2.3</v>
      </c>
      <c r="G8" s="81"/>
      <c r="H8" s="80">
        <v>10.6</v>
      </c>
      <c r="I8" s="81"/>
      <c r="J8" s="80">
        <v>1</v>
      </c>
      <c r="K8" s="81"/>
      <c r="L8" s="80">
        <v>4.6</v>
      </c>
      <c r="M8" s="81"/>
      <c r="N8" s="80" t="s">
        <v>108</v>
      </c>
      <c r="O8" s="81"/>
      <c r="P8" s="80" t="s">
        <v>108</v>
      </c>
      <c r="Q8" s="81"/>
      <c r="R8" s="80">
        <v>1.8</v>
      </c>
      <c r="S8" s="81"/>
      <c r="T8" s="80">
        <v>8.3</v>
      </c>
      <c r="U8" s="81"/>
      <c r="V8" s="80">
        <v>1.8</v>
      </c>
      <c r="W8" s="81"/>
      <c r="X8" s="80">
        <v>8.3</v>
      </c>
      <c r="Y8" s="81"/>
    </row>
    <row r="9" spans="1:25" ht="12.75">
      <c r="A9" s="79">
        <v>1964</v>
      </c>
      <c r="B9" s="80">
        <v>2.5</v>
      </c>
      <c r="C9" s="81"/>
      <c r="D9" s="80">
        <v>11.3</v>
      </c>
      <c r="E9" s="81"/>
      <c r="F9" s="80">
        <v>2.2</v>
      </c>
      <c r="G9" s="81"/>
      <c r="H9" s="80">
        <v>9.9</v>
      </c>
      <c r="I9" s="81"/>
      <c r="J9" s="80">
        <v>1</v>
      </c>
      <c r="K9" s="81"/>
      <c r="L9" s="80">
        <v>4.5</v>
      </c>
      <c r="M9" s="81"/>
      <c r="N9" s="80" t="s">
        <v>108</v>
      </c>
      <c r="O9" s="81"/>
      <c r="P9" s="80" t="s">
        <v>108</v>
      </c>
      <c r="Q9" s="81"/>
      <c r="R9" s="80">
        <v>1.8</v>
      </c>
      <c r="S9" s="81"/>
      <c r="T9" s="80">
        <v>8.1</v>
      </c>
      <c r="U9" s="81"/>
      <c r="V9" s="80">
        <v>1.7</v>
      </c>
      <c r="W9" s="81"/>
      <c r="X9" s="80">
        <v>7.7</v>
      </c>
      <c r="Y9" s="81"/>
    </row>
    <row r="10" spans="1:25" ht="12.75">
      <c r="A10" s="82">
        <v>1965</v>
      </c>
      <c r="B10" s="83">
        <v>2.4</v>
      </c>
      <c r="C10" s="84"/>
      <c r="D10" s="83">
        <v>10.7</v>
      </c>
      <c r="E10" s="84"/>
      <c r="F10" s="83">
        <v>2.2</v>
      </c>
      <c r="G10" s="84"/>
      <c r="H10" s="83">
        <v>9.8</v>
      </c>
      <c r="I10" s="84"/>
      <c r="J10" s="83">
        <v>1</v>
      </c>
      <c r="K10" s="84"/>
      <c r="L10" s="83">
        <v>4.4</v>
      </c>
      <c r="M10" s="84"/>
      <c r="N10" s="83" t="s">
        <v>108</v>
      </c>
      <c r="O10" s="84"/>
      <c r="P10" s="83" t="s">
        <v>108</v>
      </c>
      <c r="Q10" s="84"/>
      <c r="R10" s="83">
        <v>1.8</v>
      </c>
      <c r="S10" s="84"/>
      <c r="T10" s="83">
        <v>8</v>
      </c>
      <c r="U10" s="84"/>
      <c r="V10" s="83">
        <v>1.7</v>
      </c>
      <c r="W10" s="84"/>
      <c r="X10" s="83">
        <v>7.5</v>
      </c>
      <c r="Y10" s="84"/>
    </row>
    <row r="11" spans="1:25" ht="12.75">
      <c r="A11" s="79">
        <v>1966</v>
      </c>
      <c r="B11" s="80">
        <v>2.3</v>
      </c>
      <c r="C11" s="81"/>
      <c r="D11" s="80">
        <v>9.9</v>
      </c>
      <c r="E11" s="81"/>
      <c r="F11" s="80">
        <v>2.1</v>
      </c>
      <c r="G11" s="81"/>
      <c r="H11" s="80">
        <v>9.1</v>
      </c>
      <c r="I11" s="81"/>
      <c r="J11" s="80">
        <v>1</v>
      </c>
      <c r="K11" s="81"/>
      <c r="L11" s="80">
        <v>4.3</v>
      </c>
      <c r="M11" s="81"/>
      <c r="N11" s="80" t="s">
        <v>108</v>
      </c>
      <c r="O11" s="81"/>
      <c r="P11" s="80" t="s">
        <v>108</v>
      </c>
      <c r="Q11" s="81"/>
      <c r="R11" s="80">
        <v>1.8</v>
      </c>
      <c r="S11" s="81"/>
      <c r="T11" s="80">
        <v>7.8</v>
      </c>
      <c r="U11" s="81"/>
      <c r="V11" s="80">
        <v>1.7</v>
      </c>
      <c r="W11" s="81"/>
      <c r="X11" s="80">
        <v>7.3</v>
      </c>
      <c r="Y11" s="81"/>
    </row>
    <row r="12" spans="1:25" ht="12.75">
      <c r="A12" s="79">
        <v>1967</v>
      </c>
      <c r="B12" s="80">
        <v>2.3</v>
      </c>
      <c r="C12" s="81"/>
      <c r="D12" s="80">
        <v>9.6</v>
      </c>
      <c r="E12" s="81"/>
      <c r="F12" s="80">
        <v>2.1</v>
      </c>
      <c r="G12" s="81"/>
      <c r="H12" s="80">
        <v>8.8</v>
      </c>
      <c r="I12" s="81"/>
      <c r="J12" s="80">
        <v>1</v>
      </c>
      <c r="K12" s="81"/>
      <c r="L12" s="80">
        <v>4.2</v>
      </c>
      <c r="M12" s="81"/>
      <c r="N12" s="80" t="s">
        <v>108</v>
      </c>
      <c r="O12" s="81"/>
      <c r="P12" s="80" t="s">
        <v>108</v>
      </c>
      <c r="Q12" s="81"/>
      <c r="R12" s="80">
        <v>1.8</v>
      </c>
      <c r="S12" s="81"/>
      <c r="T12" s="80">
        <v>7.5</v>
      </c>
      <c r="U12" s="81"/>
      <c r="V12" s="80">
        <v>1.7</v>
      </c>
      <c r="W12" s="81"/>
      <c r="X12" s="80">
        <v>7.1</v>
      </c>
      <c r="Y12" s="81"/>
    </row>
    <row r="13" spans="1:25" ht="12.75">
      <c r="A13" s="82">
        <v>1968</v>
      </c>
      <c r="B13" s="83">
        <v>2.3</v>
      </c>
      <c r="C13" s="84"/>
      <c r="D13" s="83">
        <v>9.2</v>
      </c>
      <c r="E13" s="84"/>
      <c r="F13" s="83">
        <v>2.1</v>
      </c>
      <c r="G13" s="84"/>
      <c r="H13" s="83">
        <v>8.4</v>
      </c>
      <c r="I13" s="84"/>
      <c r="J13" s="83">
        <v>1</v>
      </c>
      <c r="K13" s="84"/>
      <c r="L13" s="83">
        <v>4</v>
      </c>
      <c r="M13" s="84"/>
      <c r="N13" s="83" t="s">
        <v>108</v>
      </c>
      <c r="O13" s="84"/>
      <c r="P13" s="83" t="s">
        <v>108</v>
      </c>
      <c r="Q13" s="84"/>
      <c r="R13" s="83">
        <v>1.8</v>
      </c>
      <c r="S13" s="84"/>
      <c r="T13" s="83">
        <v>7.2</v>
      </c>
      <c r="U13" s="84"/>
      <c r="V13" s="83">
        <v>1.6</v>
      </c>
      <c r="W13" s="84"/>
      <c r="X13" s="83">
        <v>6.4</v>
      </c>
      <c r="Y13" s="84"/>
    </row>
    <row r="14" spans="1:25" ht="12.75">
      <c r="A14" s="79">
        <v>1969</v>
      </c>
      <c r="B14" s="80">
        <v>2.2</v>
      </c>
      <c r="C14" s="81"/>
      <c r="D14" s="80">
        <v>8.4</v>
      </c>
      <c r="E14" s="81"/>
      <c r="F14" s="80">
        <v>2.1</v>
      </c>
      <c r="G14" s="81"/>
      <c r="H14" s="80">
        <v>8</v>
      </c>
      <c r="I14" s="81"/>
      <c r="J14" s="80">
        <v>1</v>
      </c>
      <c r="K14" s="81"/>
      <c r="L14" s="80">
        <v>3.8</v>
      </c>
      <c r="M14" s="81"/>
      <c r="N14" s="80" t="s">
        <v>108</v>
      </c>
      <c r="O14" s="81"/>
      <c r="P14" s="80" t="s">
        <v>108</v>
      </c>
      <c r="Q14" s="81"/>
      <c r="R14" s="80">
        <v>1.7</v>
      </c>
      <c r="S14" s="81"/>
      <c r="T14" s="80">
        <v>6.5</v>
      </c>
      <c r="U14" s="81"/>
      <c r="V14" s="80">
        <v>1.6</v>
      </c>
      <c r="W14" s="81"/>
      <c r="X14" s="80">
        <v>6.1</v>
      </c>
      <c r="Y14" s="81"/>
    </row>
    <row r="15" spans="1:25" ht="12.75">
      <c r="A15" s="79">
        <v>1970</v>
      </c>
      <c r="B15" s="80">
        <v>2.2</v>
      </c>
      <c r="C15" s="81"/>
      <c r="D15" s="80">
        <v>8</v>
      </c>
      <c r="E15" s="81"/>
      <c r="F15" s="80">
        <v>2.1</v>
      </c>
      <c r="G15" s="81"/>
      <c r="H15" s="80">
        <v>7.6</v>
      </c>
      <c r="I15" s="81"/>
      <c r="J15" s="80">
        <v>1</v>
      </c>
      <c r="K15" s="81"/>
      <c r="L15" s="80">
        <v>3.6</v>
      </c>
      <c r="M15" s="81"/>
      <c r="N15" s="80" t="s">
        <v>108</v>
      </c>
      <c r="O15" s="81"/>
      <c r="P15" s="80" t="s">
        <v>108</v>
      </c>
      <c r="Q15" s="81"/>
      <c r="R15" s="80">
        <v>1.8</v>
      </c>
      <c r="S15" s="81"/>
      <c r="T15" s="80">
        <v>6.5</v>
      </c>
      <c r="U15" s="81"/>
      <c r="V15" s="80">
        <v>1.7</v>
      </c>
      <c r="W15" s="81"/>
      <c r="X15" s="80">
        <v>6.2</v>
      </c>
      <c r="Y15" s="81"/>
    </row>
    <row r="16" spans="1:25" ht="12.75">
      <c r="A16" s="82">
        <v>1971</v>
      </c>
      <c r="B16" s="83">
        <v>2.3</v>
      </c>
      <c r="C16" s="84"/>
      <c r="D16" s="83">
        <v>8</v>
      </c>
      <c r="E16" s="84"/>
      <c r="F16" s="83">
        <v>2.2</v>
      </c>
      <c r="G16" s="84"/>
      <c r="H16" s="83">
        <v>7.6</v>
      </c>
      <c r="I16" s="84"/>
      <c r="J16" s="83">
        <v>1.1</v>
      </c>
      <c r="K16" s="84"/>
      <c r="L16" s="83">
        <v>3.8</v>
      </c>
      <c r="M16" s="84"/>
      <c r="N16" s="83" t="s">
        <v>108</v>
      </c>
      <c r="O16" s="84"/>
      <c r="P16" s="83" t="s">
        <v>108</v>
      </c>
      <c r="Q16" s="84"/>
      <c r="R16" s="83">
        <v>1.9</v>
      </c>
      <c r="S16" s="84"/>
      <c r="T16" s="83">
        <v>6.6</v>
      </c>
      <c r="U16" s="84"/>
      <c r="V16" s="83">
        <v>1.8</v>
      </c>
      <c r="W16" s="84"/>
      <c r="X16" s="83">
        <v>6.2</v>
      </c>
      <c r="Y16" s="84"/>
    </row>
    <row r="17" spans="1:25" ht="12.75">
      <c r="A17" s="79">
        <v>1972</v>
      </c>
      <c r="B17" s="80">
        <v>2.4</v>
      </c>
      <c r="C17" s="81"/>
      <c r="D17" s="80">
        <v>8</v>
      </c>
      <c r="E17" s="81"/>
      <c r="F17" s="80">
        <v>2.3</v>
      </c>
      <c r="G17" s="81"/>
      <c r="H17" s="80">
        <v>7.6</v>
      </c>
      <c r="I17" s="81"/>
      <c r="J17" s="80">
        <v>1.2</v>
      </c>
      <c r="K17" s="81"/>
      <c r="L17" s="80">
        <v>4</v>
      </c>
      <c r="M17" s="81"/>
      <c r="N17" s="80" t="s">
        <v>108</v>
      </c>
      <c r="O17" s="81"/>
      <c r="P17" s="80" t="s">
        <v>108</v>
      </c>
      <c r="Q17" s="81"/>
      <c r="R17" s="80">
        <v>2</v>
      </c>
      <c r="S17" s="81"/>
      <c r="T17" s="80">
        <v>6.6</v>
      </c>
      <c r="U17" s="81"/>
      <c r="V17" s="80">
        <v>1.9</v>
      </c>
      <c r="W17" s="81"/>
      <c r="X17" s="80">
        <v>6.3</v>
      </c>
      <c r="Y17" s="81"/>
    </row>
    <row r="18" spans="1:25" ht="12.75">
      <c r="A18" s="79">
        <v>1973</v>
      </c>
      <c r="B18" s="80">
        <v>2.5</v>
      </c>
      <c r="C18" s="81"/>
      <c r="D18" s="80">
        <v>7.9</v>
      </c>
      <c r="E18" s="81"/>
      <c r="F18" s="80">
        <v>2.4</v>
      </c>
      <c r="G18" s="81"/>
      <c r="H18" s="80">
        <v>7.5</v>
      </c>
      <c r="I18" s="81"/>
      <c r="J18" s="80">
        <v>1.3</v>
      </c>
      <c r="K18" s="81"/>
      <c r="L18" s="80">
        <v>4.1</v>
      </c>
      <c r="M18" s="81"/>
      <c r="N18" s="80" t="s">
        <v>108</v>
      </c>
      <c r="O18" s="81"/>
      <c r="P18" s="80" t="s">
        <v>108</v>
      </c>
      <c r="Q18" s="81"/>
      <c r="R18" s="80">
        <v>2.1</v>
      </c>
      <c r="S18" s="81"/>
      <c r="T18" s="80">
        <v>6.6</v>
      </c>
      <c r="U18" s="81"/>
      <c r="V18" s="80">
        <v>2</v>
      </c>
      <c r="W18" s="81"/>
      <c r="X18" s="80">
        <v>6.3</v>
      </c>
      <c r="Y18" s="81"/>
    </row>
    <row r="19" spans="1:25" ht="12.75">
      <c r="A19" s="82">
        <v>1974</v>
      </c>
      <c r="B19" s="83">
        <v>3.1</v>
      </c>
      <c r="C19" s="84"/>
      <c r="D19" s="83">
        <v>8.9</v>
      </c>
      <c r="E19" s="84"/>
      <c r="F19" s="83">
        <v>3</v>
      </c>
      <c r="G19" s="84"/>
      <c r="H19" s="83">
        <v>8.6</v>
      </c>
      <c r="I19" s="84"/>
      <c r="J19" s="83">
        <v>1.7</v>
      </c>
      <c r="K19" s="84"/>
      <c r="L19" s="83">
        <v>4.9</v>
      </c>
      <c r="M19" s="84"/>
      <c r="N19" s="83" t="s">
        <v>108</v>
      </c>
      <c r="O19" s="84"/>
      <c r="P19" s="83" t="s">
        <v>108</v>
      </c>
      <c r="Q19" s="84"/>
      <c r="R19" s="83">
        <v>2.8</v>
      </c>
      <c r="S19" s="84"/>
      <c r="T19" s="83">
        <v>8.1</v>
      </c>
      <c r="U19" s="84"/>
      <c r="V19" s="83">
        <v>2.5</v>
      </c>
      <c r="W19" s="84"/>
      <c r="X19" s="83">
        <v>7.2</v>
      </c>
      <c r="Y19" s="84"/>
    </row>
    <row r="20" spans="1:25" ht="12.75">
      <c r="A20" s="79">
        <v>1975</v>
      </c>
      <c r="B20" s="80">
        <v>3.5</v>
      </c>
      <c r="C20" s="81"/>
      <c r="D20" s="80">
        <v>9.2</v>
      </c>
      <c r="E20" s="81"/>
      <c r="F20" s="80">
        <v>3.5</v>
      </c>
      <c r="G20" s="81"/>
      <c r="H20" s="80">
        <v>9.2</v>
      </c>
      <c r="I20" s="81"/>
      <c r="J20" s="80">
        <v>2.1</v>
      </c>
      <c r="K20" s="81"/>
      <c r="L20" s="80">
        <v>5.5</v>
      </c>
      <c r="M20" s="81"/>
      <c r="N20" s="80" t="s">
        <v>108</v>
      </c>
      <c r="O20" s="81"/>
      <c r="P20" s="80" t="s">
        <v>108</v>
      </c>
      <c r="Q20" s="81"/>
      <c r="R20" s="80">
        <v>3.1</v>
      </c>
      <c r="S20" s="81"/>
      <c r="T20" s="80">
        <v>8.2</v>
      </c>
      <c r="U20" s="81"/>
      <c r="V20" s="80">
        <v>2.9</v>
      </c>
      <c r="W20" s="81"/>
      <c r="X20" s="80">
        <v>7.6</v>
      </c>
      <c r="Y20" s="81"/>
    </row>
    <row r="21" spans="1:25" ht="12.75">
      <c r="A21" s="79">
        <v>1976</v>
      </c>
      <c r="B21" s="80">
        <v>3.7</v>
      </c>
      <c r="C21" s="81"/>
      <c r="D21" s="80">
        <v>9.2</v>
      </c>
      <c r="E21" s="81"/>
      <c r="F21" s="80">
        <v>3.7</v>
      </c>
      <c r="G21" s="81"/>
      <c r="H21" s="80">
        <v>9.2</v>
      </c>
      <c r="I21" s="81"/>
      <c r="J21" s="80">
        <v>2.2</v>
      </c>
      <c r="K21" s="81"/>
      <c r="L21" s="80">
        <v>5.5</v>
      </c>
      <c r="M21" s="81"/>
      <c r="N21" s="80" t="s">
        <v>108</v>
      </c>
      <c r="O21" s="81"/>
      <c r="P21" s="80" t="s">
        <v>108</v>
      </c>
      <c r="Q21" s="81"/>
      <c r="R21" s="80">
        <v>3.3</v>
      </c>
      <c r="S21" s="81"/>
      <c r="T21" s="80">
        <v>8.2</v>
      </c>
      <c r="U21" s="81"/>
      <c r="V21" s="80">
        <v>3.1</v>
      </c>
      <c r="W21" s="81"/>
      <c r="X21" s="80">
        <v>7.7</v>
      </c>
      <c r="Y21" s="81"/>
    </row>
    <row r="22" spans="1:25" ht="12.75">
      <c r="A22" s="82">
        <v>1977</v>
      </c>
      <c r="B22" s="83">
        <v>4.1</v>
      </c>
      <c r="C22" s="84"/>
      <c r="D22" s="83">
        <v>9.6</v>
      </c>
      <c r="E22" s="84"/>
      <c r="F22" s="83">
        <v>4.1</v>
      </c>
      <c r="G22" s="84"/>
      <c r="H22" s="83">
        <v>9.6</v>
      </c>
      <c r="I22" s="84"/>
      <c r="J22" s="83">
        <v>2.5</v>
      </c>
      <c r="K22" s="84"/>
      <c r="L22" s="83">
        <v>5.9</v>
      </c>
      <c r="M22" s="84"/>
      <c r="N22" s="83" t="s">
        <v>108</v>
      </c>
      <c r="O22" s="84"/>
      <c r="P22" s="83" t="s">
        <v>108</v>
      </c>
      <c r="Q22" s="84"/>
      <c r="R22" s="83">
        <v>3.5</v>
      </c>
      <c r="S22" s="84"/>
      <c r="T22" s="83">
        <v>8.2</v>
      </c>
      <c r="U22" s="84"/>
      <c r="V22" s="83">
        <v>3.4</v>
      </c>
      <c r="W22" s="84"/>
      <c r="X22" s="83">
        <v>8</v>
      </c>
      <c r="Y22" s="84"/>
    </row>
    <row r="23" spans="1:25" ht="12.75">
      <c r="A23" s="79">
        <v>1978</v>
      </c>
      <c r="B23" s="80">
        <v>4.3</v>
      </c>
      <c r="C23" s="81"/>
      <c r="D23" s="80">
        <v>9.4</v>
      </c>
      <c r="E23" s="81"/>
      <c r="F23" s="80">
        <v>4.4</v>
      </c>
      <c r="G23" s="81"/>
      <c r="H23" s="80">
        <v>9.6</v>
      </c>
      <c r="I23" s="81"/>
      <c r="J23" s="80">
        <v>2.8</v>
      </c>
      <c r="K23" s="81"/>
      <c r="L23" s="80">
        <v>6.1</v>
      </c>
      <c r="M23" s="81"/>
      <c r="N23" s="80" t="s">
        <v>108</v>
      </c>
      <c r="O23" s="81"/>
      <c r="P23" s="80" t="s">
        <v>108</v>
      </c>
      <c r="Q23" s="81"/>
      <c r="R23" s="80">
        <v>3.6</v>
      </c>
      <c r="S23" s="81"/>
      <c r="T23" s="80">
        <v>7.9</v>
      </c>
      <c r="U23" s="81"/>
      <c r="V23" s="80">
        <v>3.7</v>
      </c>
      <c r="W23" s="81"/>
      <c r="X23" s="80">
        <v>8.1</v>
      </c>
      <c r="Y23" s="81"/>
    </row>
    <row r="24" spans="1:25" ht="12.75">
      <c r="A24" s="79">
        <v>1979</v>
      </c>
      <c r="B24" s="80">
        <v>4.6</v>
      </c>
      <c r="C24" s="81"/>
      <c r="D24" s="80">
        <v>9.3</v>
      </c>
      <c r="E24" s="81"/>
      <c r="F24" s="80">
        <v>4.7</v>
      </c>
      <c r="G24" s="81"/>
      <c r="H24" s="80">
        <v>9.5</v>
      </c>
      <c r="I24" s="81"/>
      <c r="J24" s="80">
        <v>3.1</v>
      </c>
      <c r="K24" s="81"/>
      <c r="L24" s="80">
        <v>6.3</v>
      </c>
      <c r="M24" s="81"/>
      <c r="N24" s="80" t="s">
        <v>108</v>
      </c>
      <c r="O24" s="81"/>
      <c r="P24" s="80" t="s">
        <v>108</v>
      </c>
      <c r="Q24" s="81"/>
      <c r="R24" s="80">
        <v>4</v>
      </c>
      <c r="S24" s="81"/>
      <c r="T24" s="80">
        <v>8.1</v>
      </c>
      <c r="U24" s="81"/>
      <c r="V24" s="80">
        <v>4</v>
      </c>
      <c r="W24" s="81"/>
      <c r="X24" s="80">
        <v>8.1</v>
      </c>
      <c r="Y24" s="81"/>
    </row>
    <row r="25" spans="1:25" ht="12.75">
      <c r="A25" s="82">
        <v>1980</v>
      </c>
      <c r="B25" s="83">
        <v>5.4</v>
      </c>
      <c r="C25" s="84"/>
      <c r="D25" s="83">
        <v>10</v>
      </c>
      <c r="E25" s="84"/>
      <c r="F25" s="83">
        <v>5.5</v>
      </c>
      <c r="G25" s="84"/>
      <c r="H25" s="83">
        <v>10.2</v>
      </c>
      <c r="I25" s="84"/>
      <c r="J25" s="83">
        <v>3.7</v>
      </c>
      <c r="K25" s="84"/>
      <c r="L25" s="83">
        <v>6.9</v>
      </c>
      <c r="M25" s="84"/>
      <c r="N25" s="83" t="s">
        <v>108</v>
      </c>
      <c r="O25" s="84"/>
      <c r="P25" s="83" t="s">
        <v>108</v>
      </c>
      <c r="Q25" s="84"/>
      <c r="R25" s="83">
        <v>4.8</v>
      </c>
      <c r="S25" s="84"/>
      <c r="T25" s="83">
        <v>8.9</v>
      </c>
      <c r="U25" s="84"/>
      <c r="V25" s="83">
        <v>4.7</v>
      </c>
      <c r="W25" s="84"/>
      <c r="X25" s="83">
        <v>8.7</v>
      </c>
      <c r="Y25" s="84"/>
    </row>
    <row r="26" spans="1:25" ht="12.75">
      <c r="A26" s="79">
        <v>1981</v>
      </c>
      <c r="B26" s="80">
        <v>6.2</v>
      </c>
      <c r="C26" s="81"/>
      <c r="D26" s="80">
        <v>10.5</v>
      </c>
      <c r="E26" s="81"/>
      <c r="F26" s="80">
        <v>6.3</v>
      </c>
      <c r="G26" s="81"/>
      <c r="H26" s="80">
        <v>10.7</v>
      </c>
      <c r="I26" s="81"/>
      <c r="J26" s="80">
        <v>4.3</v>
      </c>
      <c r="K26" s="81"/>
      <c r="L26" s="80">
        <v>7.3</v>
      </c>
      <c r="M26" s="81"/>
      <c r="N26" s="80" t="s">
        <v>108</v>
      </c>
      <c r="O26" s="81"/>
      <c r="P26" s="80" t="s">
        <v>108</v>
      </c>
      <c r="Q26" s="81"/>
      <c r="R26" s="80">
        <v>5.3</v>
      </c>
      <c r="S26" s="81"/>
      <c r="T26" s="80">
        <v>9</v>
      </c>
      <c r="U26" s="81"/>
      <c r="V26" s="80">
        <v>5.5</v>
      </c>
      <c r="W26" s="81"/>
      <c r="X26" s="80">
        <v>9.3</v>
      </c>
      <c r="Y26" s="81"/>
    </row>
    <row r="27" spans="1:25" ht="12.75">
      <c r="A27" s="79">
        <v>1982</v>
      </c>
      <c r="B27" s="80">
        <v>6.9</v>
      </c>
      <c r="C27" s="81"/>
      <c r="D27" s="80">
        <v>11</v>
      </c>
      <c r="E27" s="81"/>
      <c r="F27" s="80">
        <v>6.9</v>
      </c>
      <c r="G27" s="81"/>
      <c r="H27" s="80">
        <v>11</v>
      </c>
      <c r="I27" s="81"/>
      <c r="J27" s="80">
        <v>5</v>
      </c>
      <c r="K27" s="81"/>
      <c r="L27" s="80">
        <v>8</v>
      </c>
      <c r="M27" s="81"/>
      <c r="N27" s="80" t="s">
        <v>108</v>
      </c>
      <c r="O27" s="81"/>
      <c r="P27" s="80" t="s">
        <v>108</v>
      </c>
      <c r="Q27" s="81"/>
      <c r="R27" s="80">
        <v>5.9</v>
      </c>
      <c r="S27" s="81"/>
      <c r="T27" s="80">
        <v>9.4</v>
      </c>
      <c r="U27" s="81"/>
      <c r="V27" s="80">
        <v>6.1</v>
      </c>
      <c r="W27" s="81"/>
      <c r="X27" s="80">
        <v>9.7</v>
      </c>
      <c r="Y27" s="81"/>
    </row>
    <row r="28" spans="1:25" ht="12.75">
      <c r="A28" s="82">
        <v>1983</v>
      </c>
      <c r="B28" s="83">
        <v>7.2</v>
      </c>
      <c r="C28" s="84"/>
      <c r="D28" s="83">
        <v>11</v>
      </c>
      <c r="E28" s="84"/>
      <c r="F28" s="83">
        <v>7</v>
      </c>
      <c r="G28" s="84"/>
      <c r="H28" s="83">
        <v>10.7</v>
      </c>
      <c r="I28" s="84"/>
      <c r="J28" s="83">
        <v>5</v>
      </c>
      <c r="K28" s="84"/>
      <c r="L28" s="83">
        <v>7.7</v>
      </c>
      <c r="M28" s="84"/>
      <c r="N28" s="83" t="s">
        <v>108</v>
      </c>
      <c r="O28" s="84"/>
      <c r="P28" s="83" t="s">
        <v>108</v>
      </c>
      <c r="Q28" s="84"/>
      <c r="R28" s="83">
        <v>6.4</v>
      </c>
      <c r="S28" s="84"/>
      <c r="T28" s="83">
        <v>9.8</v>
      </c>
      <c r="U28" s="84"/>
      <c r="V28" s="83">
        <v>6.3</v>
      </c>
      <c r="W28" s="84"/>
      <c r="X28" s="83">
        <v>9.7</v>
      </c>
      <c r="Y28" s="84"/>
    </row>
    <row r="29" spans="1:25" ht="12.75">
      <c r="A29" s="79">
        <v>1984</v>
      </c>
      <c r="B29" s="80">
        <v>7.15</v>
      </c>
      <c r="C29" s="81"/>
      <c r="D29" s="80">
        <v>10.57</v>
      </c>
      <c r="E29" s="81"/>
      <c r="F29" s="80">
        <v>7.13</v>
      </c>
      <c r="G29" s="81"/>
      <c r="H29" s="80">
        <v>10.54</v>
      </c>
      <c r="I29" s="81"/>
      <c r="J29" s="80">
        <v>4.83</v>
      </c>
      <c r="K29" s="81"/>
      <c r="L29" s="80">
        <v>7.14</v>
      </c>
      <c r="M29" s="81"/>
      <c r="N29" s="80" t="s">
        <v>108</v>
      </c>
      <c r="O29" s="81"/>
      <c r="P29" s="80" t="s">
        <v>108</v>
      </c>
      <c r="Q29" s="81"/>
      <c r="R29" s="80">
        <v>5.9</v>
      </c>
      <c r="S29" s="81"/>
      <c r="T29" s="80">
        <v>8.72</v>
      </c>
      <c r="U29" s="81"/>
      <c r="V29" s="80">
        <v>6.25</v>
      </c>
      <c r="W29" s="81"/>
      <c r="X29" s="80">
        <v>9.24</v>
      </c>
      <c r="Y29" s="81"/>
    </row>
    <row r="30" spans="1:25" ht="12.75">
      <c r="A30" s="79">
        <v>1985</v>
      </c>
      <c r="B30" s="80">
        <v>7.39</v>
      </c>
      <c r="C30" s="81"/>
      <c r="D30" s="80">
        <v>10.6</v>
      </c>
      <c r="E30" s="81"/>
      <c r="F30" s="80">
        <v>7.27</v>
      </c>
      <c r="G30" s="81"/>
      <c r="H30" s="80">
        <v>10.43</v>
      </c>
      <c r="I30" s="81"/>
      <c r="J30" s="80">
        <v>4.97</v>
      </c>
      <c r="K30" s="81"/>
      <c r="L30" s="80">
        <v>7.13</v>
      </c>
      <c r="M30" s="81"/>
      <c r="N30" s="80" t="s">
        <v>108</v>
      </c>
      <c r="O30" s="81"/>
      <c r="P30" s="80" t="s">
        <v>108</v>
      </c>
      <c r="Q30" s="81"/>
      <c r="R30" s="80">
        <v>6.09</v>
      </c>
      <c r="S30" s="81"/>
      <c r="T30" s="80">
        <v>8.74</v>
      </c>
      <c r="U30" s="81"/>
      <c r="V30" s="80">
        <v>6.44</v>
      </c>
      <c r="W30" s="81"/>
      <c r="X30" s="80">
        <v>9.24</v>
      </c>
      <c r="Y30" s="81"/>
    </row>
    <row r="31" spans="1:25" ht="12.75">
      <c r="A31" s="82">
        <v>1986</v>
      </c>
      <c r="B31" s="83">
        <v>7.42</v>
      </c>
      <c r="C31" s="84"/>
      <c r="D31" s="83">
        <v>10.41</v>
      </c>
      <c r="E31" s="84"/>
      <c r="F31" s="83">
        <v>7.2</v>
      </c>
      <c r="G31" s="84"/>
      <c r="H31" s="83">
        <v>10.11</v>
      </c>
      <c r="I31" s="84"/>
      <c r="J31" s="83">
        <v>4.93</v>
      </c>
      <c r="K31" s="84"/>
      <c r="L31" s="83">
        <v>6.92</v>
      </c>
      <c r="M31" s="84"/>
      <c r="N31" s="83" t="s">
        <v>108</v>
      </c>
      <c r="O31" s="84"/>
      <c r="P31" s="83" t="s">
        <v>108</v>
      </c>
      <c r="Q31" s="84"/>
      <c r="R31" s="83">
        <v>6.11</v>
      </c>
      <c r="S31" s="84"/>
      <c r="T31" s="83">
        <v>8.58</v>
      </c>
      <c r="U31" s="84"/>
      <c r="V31" s="83">
        <v>6.44</v>
      </c>
      <c r="W31" s="84"/>
      <c r="X31" s="83">
        <v>9.04</v>
      </c>
      <c r="Y31" s="84"/>
    </row>
    <row r="32" spans="1:25" ht="12.75">
      <c r="A32" s="79">
        <v>1987</v>
      </c>
      <c r="B32" s="80">
        <v>7.45</v>
      </c>
      <c r="C32" s="81"/>
      <c r="D32" s="80">
        <v>10.18</v>
      </c>
      <c r="E32" s="81"/>
      <c r="F32" s="80">
        <v>7.08</v>
      </c>
      <c r="G32" s="81"/>
      <c r="H32" s="80">
        <v>9.67</v>
      </c>
      <c r="I32" s="81"/>
      <c r="J32" s="80">
        <v>4.77</v>
      </c>
      <c r="K32" s="81"/>
      <c r="L32" s="80">
        <v>6.52</v>
      </c>
      <c r="M32" s="81"/>
      <c r="N32" s="80" t="s">
        <v>108</v>
      </c>
      <c r="O32" s="81"/>
      <c r="P32" s="80" t="s">
        <v>108</v>
      </c>
      <c r="Q32" s="81"/>
      <c r="R32" s="80">
        <v>6.21</v>
      </c>
      <c r="S32" s="81"/>
      <c r="T32" s="80">
        <v>8.48</v>
      </c>
      <c r="U32" s="81"/>
      <c r="V32" s="80">
        <v>6.37</v>
      </c>
      <c r="W32" s="81"/>
      <c r="X32" s="80">
        <v>8.7</v>
      </c>
      <c r="Y32" s="81"/>
    </row>
    <row r="33" spans="1:25" ht="12.75">
      <c r="A33" s="79">
        <v>1988</v>
      </c>
      <c r="B33" s="80">
        <v>7.48</v>
      </c>
      <c r="C33" s="81"/>
      <c r="D33" s="80">
        <v>9.88</v>
      </c>
      <c r="E33" s="81"/>
      <c r="F33" s="80">
        <v>7.04</v>
      </c>
      <c r="G33" s="81"/>
      <c r="H33" s="80">
        <v>9.3</v>
      </c>
      <c r="I33" s="81"/>
      <c r="J33" s="80">
        <v>4.7</v>
      </c>
      <c r="K33" s="81"/>
      <c r="L33" s="80">
        <v>6.21</v>
      </c>
      <c r="M33" s="81"/>
      <c r="N33" s="80" t="s">
        <v>108</v>
      </c>
      <c r="O33" s="81"/>
      <c r="P33" s="80" t="s">
        <v>108</v>
      </c>
      <c r="Q33" s="81"/>
      <c r="R33" s="80">
        <v>6.2</v>
      </c>
      <c r="S33" s="81"/>
      <c r="T33" s="80">
        <v>8.19</v>
      </c>
      <c r="U33" s="81"/>
      <c r="V33" s="80">
        <v>6.35</v>
      </c>
      <c r="W33" s="81"/>
      <c r="X33" s="80">
        <v>8.39</v>
      </c>
      <c r="Y33" s="81"/>
    </row>
    <row r="34" spans="1:25" ht="12.75">
      <c r="A34" s="82">
        <v>1989</v>
      </c>
      <c r="B34" s="83">
        <v>7.65</v>
      </c>
      <c r="C34" s="84"/>
      <c r="D34" s="83">
        <v>9.74</v>
      </c>
      <c r="E34" s="84"/>
      <c r="F34" s="83">
        <v>7.2</v>
      </c>
      <c r="G34" s="84"/>
      <c r="H34" s="83">
        <v>9.17</v>
      </c>
      <c r="I34" s="84"/>
      <c r="J34" s="83">
        <v>4.72</v>
      </c>
      <c r="K34" s="84"/>
      <c r="L34" s="83">
        <v>6.01</v>
      </c>
      <c r="M34" s="84"/>
      <c r="N34" s="83" t="s">
        <v>108</v>
      </c>
      <c r="O34" s="84"/>
      <c r="P34" s="83" t="s">
        <v>108</v>
      </c>
      <c r="Q34" s="84"/>
      <c r="R34" s="83">
        <v>6.25</v>
      </c>
      <c r="S34" s="84"/>
      <c r="T34" s="83">
        <v>7.96</v>
      </c>
      <c r="U34" s="84"/>
      <c r="V34" s="83">
        <v>6.45</v>
      </c>
      <c r="W34" s="84"/>
      <c r="X34" s="83">
        <v>8.21</v>
      </c>
      <c r="Y34" s="84"/>
    </row>
    <row r="35" spans="1:25" ht="12.75">
      <c r="A35" s="79">
        <v>1990</v>
      </c>
      <c r="B35" s="80">
        <v>7.83</v>
      </c>
      <c r="C35" s="81"/>
      <c r="D35" s="80">
        <v>9.6</v>
      </c>
      <c r="E35" s="81"/>
      <c r="F35" s="80">
        <v>7.34</v>
      </c>
      <c r="G35" s="81"/>
      <c r="H35" s="80">
        <v>9</v>
      </c>
      <c r="I35" s="81"/>
      <c r="J35" s="80">
        <v>4.74</v>
      </c>
      <c r="K35" s="81"/>
      <c r="L35" s="80">
        <v>5.81</v>
      </c>
      <c r="M35" s="81"/>
      <c r="N35" s="80" t="s">
        <v>108</v>
      </c>
      <c r="O35" s="81"/>
      <c r="P35" s="80" t="s">
        <v>108</v>
      </c>
      <c r="Q35" s="81"/>
      <c r="R35" s="80">
        <v>6.4</v>
      </c>
      <c r="S35" s="81"/>
      <c r="T35" s="80">
        <v>7.84</v>
      </c>
      <c r="U35" s="81"/>
      <c r="V35" s="80">
        <v>6.57</v>
      </c>
      <c r="W35" s="81"/>
      <c r="X35" s="80">
        <v>8.05</v>
      </c>
      <c r="Y35" s="81"/>
    </row>
    <row r="36" spans="1:25" ht="12.75">
      <c r="A36" s="79">
        <v>1991</v>
      </c>
      <c r="B36" s="80">
        <v>8.04</v>
      </c>
      <c r="C36" s="81"/>
      <c r="D36" s="80">
        <v>9.52</v>
      </c>
      <c r="E36" s="81"/>
      <c r="F36" s="80">
        <v>7.53</v>
      </c>
      <c r="G36" s="81"/>
      <c r="H36" s="80">
        <v>8.92</v>
      </c>
      <c r="I36" s="81"/>
      <c r="J36" s="80">
        <v>4.83</v>
      </c>
      <c r="K36" s="81"/>
      <c r="L36" s="80">
        <v>5.72</v>
      </c>
      <c r="M36" s="81"/>
      <c r="N36" s="80" t="s">
        <v>108</v>
      </c>
      <c r="O36" s="81"/>
      <c r="P36" s="80" t="s">
        <v>108</v>
      </c>
      <c r="Q36" s="81"/>
      <c r="R36" s="80">
        <v>6.51</v>
      </c>
      <c r="S36" s="81"/>
      <c r="T36" s="80">
        <v>7.71</v>
      </c>
      <c r="U36" s="81"/>
      <c r="V36" s="80">
        <v>6.75</v>
      </c>
      <c r="W36" s="81"/>
      <c r="X36" s="80">
        <v>7.99</v>
      </c>
      <c r="Y36" s="81"/>
    </row>
    <row r="37" spans="1:25" ht="12.75">
      <c r="A37" s="82">
        <v>1992</v>
      </c>
      <c r="B37" s="83">
        <v>8.21</v>
      </c>
      <c r="C37" s="84"/>
      <c r="D37" s="83">
        <v>9.5</v>
      </c>
      <c r="E37" s="84"/>
      <c r="F37" s="83">
        <v>7.66</v>
      </c>
      <c r="G37" s="84"/>
      <c r="H37" s="83">
        <v>8.87</v>
      </c>
      <c r="I37" s="84"/>
      <c r="J37" s="83">
        <v>4.83</v>
      </c>
      <c r="K37" s="84"/>
      <c r="L37" s="83">
        <v>5.59</v>
      </c>
      <c r="M37" s="84"/>
      <c r="N37" s="83" t="s">
        <v>108</v>
      </c>
      <c r="O37" s="84"/>
      <c r="P37" s="83" t="s">
        <v>108</v>
      </c>
      <c r="Q37" s="84"/>
      <c r="R37" s="83">
        <v>6.74</v>
      </c>
      <c r="S37" s="84"/>
      <c r="T37" s="83">
        <v>7.8</v>
      </c>
      <c r="U37" s="84"/>
      <c r="V37" s="83">
        <v>6.82</v>
      </c>
      <c r="W37" s="84"/>
      <c r="X37" s="83">
        <v>7.89</v>
      </c>
      <c r="Y37" s="84"/>
    </row>
    <row r="38" spans="1:25" ht="12.75">
      <c r="A38" s="79">
        <v>1993</v>
      </c>
      <c r="B38" s="80">
        <v>8.32</v>
      </c>
      <c r="C38" s="81"/>
      <c r="D38" s="80">
        <v>9.41</v>
      </c>
      <c r="E38" s="81"/>
      <c r="F38" s="80">
        <v>7.74</v>
      </c>
      <c r="G38" s="81"/>
      <c r="H38" s="80">
        <v>8.76</v>
      </c>
      <c r="I38" s="81"/>
      <c r="J38" s="80">
        <v>4.85</v>
      </c>
      <c r="K38" s="81"/>
      <c r="L38" s="80">
        <v>5.49</v>
      </c>
      <c r="M38" s="81"/>
      <c r="N38" s="80" t="s">
        <v>108</v>
      </c>
      <c r="O38" s="81"/>
      <c r="P38" s="80" t="s">
        <v>108</v>
      </c>
      <c r="Q38" s="81"/>
      <c r="R38" s="80">
        <v>6.88</v>
      </c>
      <c r="S38" s="81"/>
      <c r="T38" s="80">
        <v>7.78</v>
      </c>
      <c r="U38" s="81"/>
      <c r="V38" s="80">
        <v>6.93</v>
      </c>
      <c r="W38" s="81"/>
      <c r="X38" s="80">
        <v>7.84</v>
      </c>
      <c r="Y38" s="81"/>
    </row>
    <row r="39" spans="1:25" ht="12.75">
      <c r="A39" s="79">
        <v>1994</v>
      </c>
      <c r="B39" s="80">
        <v>8.38</v>
      </c>
      <c r="C39" s="81"/>
      <c r="D39" s="80">
        <v>9.28</v>
      </c>
      <c r="E39" s="81"/>
      <c r="F39" s="80">
        <v>7.73</v>
      </c>
      <c r="G39" s="81"/>
      <c r="H39" s="80">
        <v>8.56</v>
      </c>
      <c r="I39" s="81"/>
      <c r="J39" s="80">
        <v>4.77</v>
      </c>
      <c r="K39" s="81"/>
      <c r="L39" s="80">
        <v>5.28</v>
      </c>
      <c r="M39" s="81"/>
      <c r="N39" s="80" t="s">
        <v>108</v>
      </c>
      <c r="O39" s="81"/>
      <c r="P39" s="80" t="s">
        <v>108</v>
      </c>
      <c r="Q39" s="81"/>
      <c r="R39" s="80">
        <v>6.84</v>
      </c>
      <c r="S39" s="81"/>
      <c r="T39" s="80">
        <v>7.58</v>
      </c>
      <c r="U39" s="81"/>
      <c r="V39" s="80">
        <v>6.91</v>
      </c>
      <c r="W39" s="81"/>
      <c r="X39" s="80">
        <v>7.66</v>
      </c>
      <c r="Y39" s="81"/>
    </row>
    <row r="40" spans="1:25" ht="12.75">
      <c r="A40" s="82">
        <v>1995</v>
      </c>
      <c r="B40" s="83">
        <v>8.4</v>
      </c>
      <c r="C40" s="84"/>
      <c r="D40" s="83">
        <v>9.12</v>
      </c>
      <c r="E40" s="84"/>
      <c r="F40" s="83">
        <v>7.69</v>
      </c>
      <c r="G40" s="84"/>
      <c r="H40" s="83">
        <v>8.35</v>
      </c>
      <c r="I40" s="84"/>
      <c r="J40" s="83">
        <v>4.66</v>
      </c>
      <c r="K40" s="84"/>
      <c r="L40" s="83">
        <v>5.06</v>
      </c>
      <c r="M40" s="84"/>
      <c r="N40" s="83" t="s">
        <v>108</v>
      </c>
      <c r="O40" s="84"/>
      <c r="P40" s="83" t="s">
        <v>108</v>
      </c>
      <c r="Q40" s="84"/>
      <c r="R40" s="83">
        <v>6.88</v>
      </c>
      <c r="S40" s="84"/>
      <c r="T40" s="83">
        <v>7.47</v>
      </c>
      <c r="U40" s="84"/>
      <c r="V40" s="83">
        <v>6.89</v>
      </c>
      <c r="W40" s="84"/>
      <c r="X40" s="83">
        <v>7.48</v>
      </c>
      <c r="Y40" s="84"/>
    </row>
    <row r="41" spans="1:25" ht="12.75">
      <c r="A41" s="79">
        <v>1996</v>
      </c>
      <c r="B41" s="80">
        <v>8.36</v>
      </c>
      <c r="C41" s="81"/>
      <c r="D41" s="80">
        <v>8.91</v>
      </c>
      <c r="E41" s="81"/>
      <c r="F41" s="80">
        <v>7.64</v>
      </c>
      <c r="G41" s="81"/>
      <c r="H41" s="80">
        <v>8.14</v>
      </c>
      <c r="I41" s="81"/>
      <c r="J41" s="80">
        <v>4.6</v>
      </c>
      <c r="K41" s="81"/>
      <c r="L41" s="80">
        <v>4.9</v>
      </c>
      <c r="M41" s="81"/>
      <c r="N41" s="80" t="s">
        <v>108</v>
      </c>
      <c r="O41" s="81"/>
      <c r="P41" s="80" t="s">
        <v>108</v>
      </c>
      <c r="Q41" s="81"/>
      <c r="R41" s="80">
        <v>6.91</v>
      </c>
      <c r="S41" s="81"/>
      <c r="T41" s="80">
        <v>7.36</v>
      </c>
      <c r="U41" s="81"/>
      <c r="V41" s="80">
        <v>6.86</v>
      </c>
      <c r="W41" s="81"/>
      <c r="X41" s="80">
        <v>7.31</v>
      </c>
      <c r="Y41" s="81"/>
    </row>
    <row r="42" spans="1:25" ht="12.75">
      <c r="A42" s="79">
        <v>1997</v>
      </c>
      <c r="B42" s="80">
        <v>8.43</v>
      </c>
      <c r="C42" s="81"/>
      <c r="D42" s="80">
        <v>8.84</v>
      </c>
      <c r="E42" s="81"/>
      <c r="F42" s="80">
        <v>7.59</v>
      </c>
      <c r="G42" s="81"/>
      <c r="H42" s="80">
        <v>7.95</v>
      </c>
      <c r="I42" s="81"/>
      <c r="J42" s="80">
        <v>4.53</v>
      </c>
      <c r="K42" s="81"/>
      <c r="L42" s="80">
        <v>4.75</v>
      </c>
      <c r="M42" s="81"/>
      <c r="N42" s="80" t="s">
        <v>108</v>
      </c>
      <c r="O42" s="81"/>
      <c r="P42" s="80" t="s">
        <v>108</v>
      </c>
      <c r="Q42" s="81"/>
      <c r="R42" s="80">
        <v>6.91</v>
      </c>
      <c r="S42" s="81"/>
      <c r="T42" s="80">
        <v>7.24</v>
      </c>
      <c r="U42" s="81"/>
      <c r="V42" s="80">
        <v>6.85</v>
      </c>
      <c r="W42" s="81"/>
      <c r="X42" s="80">
        <v>7.18</v>
      </c>
      <c r="Y42" s="81"/>
    </row>
    <row r="43" spans="1:25" ht="12.75">
      <c r="A43" s="82">
        <v>1998</v>
      </c>
      <c r="B43" s="83">
        <v>8.26</v>
      </c>
      <c r="C43" s="84"/>
      <c r="D43" s="83">
        <v>8.56</v>
      </c>
      <c r="E43" s="84"/>
      <c r="F43" s="83">
        <v>7.41</v>
      </c>
      <c r="G43" s="84"/>
      <c r="H43" s="83">
        <v>7.68</v>
      </c>
      <c r="I43" s="84"/>
      <c r="J43" s="83">
        <v>4.48</v>
      </c>
      <c r="K43" s="84"/>
      <c r="L43" s="83">
        <v>4.64</v>
      </c>
      <c r="M43" s="84"/>
      <c r="N43" s="83" t="s">
        <v>108</v>
      </c>
      <c r="O43" s="84"/>
      <c r="P43" s="83" t="s">
        <v>108</v>
      </c>
      <c r="Q43" s="84"/>
      <c r="R43" s="83">
        <v>6.63</v>
      </c>
      <c r="S43" s="84"/>
      <c r="T43" s="83">
        <v>6.87</v>
      </c>
      <c r="U43" s="84"/>
      <c r="V43" s="83">
        <v>6.74</v>
      </c>
      <c r="W43" s="84"/>
      <c r="X43" s="83">
        <v>6.99</v>
      </c>
      <c r="Y43" s="84"/>
    </row>
    <row r="44" spans="1:25" ht="12.75">
      <c r="A44" s="79">
        <v>1999</v>
      </c>
      <c r="B44" s="80">
        <v>8.16</v>
      </c>
      <c r="C44" s="81"/>
      <c r="D44" s="80">
        <v>8.34</v>
      </c>
      <c r="E44" s="81"/>
      <c r="F44" s="80">
        <v>7.26</v>
      </c>
      <c r="G44" s="81"/>
      <c r="H44" s="80">
        <v>7.42</v>
      </c>
      <c r="I44" s="81"/>
      <c r="J44" s="80">
        <v>4.43</v>
      </c>
      <c r="K44" s="81"/>
      <c r="L44" s="80">
        <v>4.53</v>
      </c>
      <c r="M44" s="81"/>
      <c r="N44" s="80" t="s">
        <v>108</v>
      </c>
      <c r="O44" s="81"/>
      <c r="P44" s="80" t="s">
        <v>108</v>
      </c>
      <c r="Q44" s="81"/>
      <c r="R44" s="80">
        <v>6.35</v>
      </c>
      <c r="S44" s="81"/>
      <c r="T44" s="80">
        <v>6.49</v>
      </c>
      <c r="U44" s="81"/>
      <c r="V44" s="80">
        <v>6.64</v>
      </c>
      <c r="W44" s="81"/>
      <c r="X44" s="80">
        <v>6.78</v>
      </c>
      <c r="Y44" s="81"/>
    </row>
    <row r="45" spans="1:25" ht="12.75">
      <c r="A45" s="79">
        <v>2000</v>
      </c>
      <c r="B45" s="80">
        <v>8.24</v>
      </c>
      <c r="C45" s="81"/>
      <c r="D45" s="80">
        <v>8.24</v>
      </c>
      <c r="E45" s="81"/>
      <c r="F45" s="80">
        <v>7.43</v>
      </c>
      <c r="G45" s="81"/>
      <c r="H45" s="80">
        <v>7.43</v>
      </c>
      <c r="I45" s="81"/>
      <c r="J45" s="80">
        <v>4.64</v>
      </c>
      <c r="K45" s="81"/>
      <c r="L45" s="80">
        <v>4.64</v>
      </c>
      <c r="M45" s="81"/>
      <c r="N45" s="80" t="s">
        <v>108</v>
      </c>
      <c r="O45" s="81"/>
      <c r="P45" s="80" t="s">
        <v>108</v>
      </c>
      <c r="Q45" s="81"/>
      <c r="R45" s="80">
        <v>6.56</v>
      </c>
      <c r="S45" s="81"/>
      <c r="T45" s="80">
        <v>6.56</v>
      </c>
      <c r="U45" s="81"/>
      <c r="V45" s="80">
        <v>6.81</v>
      </c>
      <c r="W45" s="81"/>
      <c r="X45" s="80">
        <v>6.81</v>
      </c>
      <c r="Y45" s="81"/>
    </row>
    <row r="46" spans="1:25" ht="12.75">
      <c r="A46" s="82">
        <v>2001</v>
      </c>
      <c r="B46" s="83">
        <v>8.63</v>
      </c>
      <c r="C46" s="85" t="s">
        <v>109</v>
      </c>
      <c r="D46" s="83">
        <v>8.43</v>
      </c>
      <c r="E46" s="85" t="s">
        <v>109</v>
      </c>
      <c r="F46" s="83">
        <v>7.95</v>
      </c>
      <c r="G46" s="85" t="s">
        <v>109</v>
      </c>
      <c r="H46" s="83">
        <v>7.76</v>
      </c>
      <c r="I46" s="85" t="s">
        <v>109</v>
      </c>
      <c r="J46" s="83">
        <v>4.98</v>
      </c>
      <c r="K46" s="85" t="s">
        <v>109</v>
      </c>
      <c r="L46" s="83">
        <v>4.86</v>
      </c>
      <c r="M46" s="85" t="s">
        <v>109</v>
      </c>
      <c r="N46" s="83" t="s">
        <v>108</v>
      </c>
      <c r="O46" s="84"/>
      <c r="P46" s="83" t="s">
        <v>108</v>
      </c>
      <c r="Q46" s="84"/>
      <c r="R46" s="83">
        <v>7.44</v>
      </c>
      <c r="S46" s="85" t="s">
        <v>109</v>
      </c>
      <c r="T46" s="83">
        <v>7.27</v>
      </c>
      <c r="U46" s="85" t="s">
        <v>109</v>
      </c>
      <c r="V46" s="83">
        <v>7.31</v>
      </c>
      <c r="W46" s="85" t="s">
        <v>109</v>
      </c>
      <c r="X46" s="83">
        <v>7.14</v>
      </c>
      <c r="Y46" s="85" t="s">
        <v>109</v>
      </c>
    </row>
    <row r="47" spans="1:25" ht="12.75">
      <c r="A47" s="79">
        <v>2002</v>
      </c>
      <c r="B47" s="80">
        <v>8.46</v>
      </c>
      <c r="C47" s="81"/>
      <c r="D47" s="80">
        <v>8.12</v>
      </c>
      <c r="E47" s="86" t="s">
        <v>109</v>
      </c>
      <c r="F47" s="80">
        <v>7.9</v>
      </c>
      <c r="G47" s="86" t="s">
        <v>109</v>
      </c>
      <c r="H47" s="80">
        <v>7.58</v>
      </c>
      <c r="I47" s="86" t="s">
        <v>109</v>
      </c>
      <c r="J47" s="80">
        <v>4.91</v>
      </c>
      <c r="K47" s="86" t="s">
        <v>109</v>
      </c>
      <c r="L47" s="80">
        <v>4.71</v>
      </c>
      <c r="M47" s="86" t="s">
        <v>109</v>
      </c>
      <c r="N47" s="80" t="s">
        <v>108</v>
      </c>
      <c r="O47" s="81"/>
      <c r="P47" s="80" t="s">
        <v>108</v>
      </c>
      <c r="Q47" s="81"/>
      <c r="R47" s="80">
        <v>6.75</v>
      </c>
      <c r="S47" s="86" t="s">
        <v>109</v>
      </c>
      <c r="T47" s="80">
        <v>6.48</v>
      </c>
      <c r="U47" s="86" t="s">
        <v>109</v>
      </c>
      <c r="V47" s="80">
        <v>7.22</v>
      </c>
      <c r="W47" s="86" t="s">
        <v>109</v>
      </c>
      <c r="X47" s="80">
        <v>6.93</v>
      </c>
      <c r="Y47" s="81"/>
    </row>
    <row r="48" spans="1:25" ht="12.75">
      <c r="A48" s="79">
        <v>2003</v>
      </c>
      <c r="B48" s="80">
        <v>8.7</v>
      </c>
      <c r="C48" s="81"/>
      <c r="D48" s="80">
        <v>8.18</v>
      </c>
      <c r="E48" s="86" t="s">
        <v>109</v>
      </c>
      <c r="F48" s="80">
        <v>8</v>
      </c>
      <c r="G48" s="86" t="s">
        <v>109</v>
      </c>
      <c r="H48" s="80">
        <v>7.53</v>
      </c>
      <c r="I48" s="81"/>
      <c r="J48" s="80">
        <v>5.12</v>
      </c>
      <c r="K48" s="86" t="s">
        <v>109</v>
      </c>
      <c r="L48" s="80">
        <v>4.82</v>
      </c>
      <c r="M48" s="86" t="s">
        <v>109</v>
      </c>
      <c r="N48" s="80">
        <v>7.55</v>
      </c>
      <c r="O48" s="86" t="s">
        <v>109</v>
      </c>
      <c r="P48" s="80">
        <v>7.1</v>
      </c>
      <c r="Q48" s="86" t="s">
        <v>109</v>
      </c>
      <c r="R48" s="80" t="s">
        <v>110</v>
      </c>
      <c r="S48" s="81"/>
      <c r="T48" s="80" t="s">
        <v>110</v>
      </c>
      <c r="U48" s="81"/>
      <c r="V48" s="80">
        <v>7.42</v>
      </c>
      <c r="W48" s="81"/>
      <c r="X48" s="80">
        <v>6.98</v>
      </c>
      <c r="Y48" s="86" t="s">
        <v>109</v>
      </c>
    </row>
    <row r="49" spans="1:25" ht="12.75">
      <c r="A49" s="82">
        <v>2004</v>
      </c>
      <c r="B49" s="83">
        <v>8.97</v>
      </c>
      <c r="C49" s="85" t="s">
        <v>109</v>
      </c>
      <c r="D49" s="83">
        <v>8.22</v>
      </c>
      <c r="E49" s="85" t="s">
        <v>109</v>
      </c>
      <c r="F49" s="83">
        <v>8.16</v>
      </c>
      <c r="G49" s="85" t="s">
        <v>109</v>
      </c>
      <c r="H49" s="83">
        <v>7.48</v>
      </c>
      <c r="I49" s="85" t="s">
        <v>109</v>
      </c>
      <c r="J49" s="83">
        <v>5.27</v>
      </c>
      <c r="K49" s="85" t="s">
        <v>109</v>
      </c>
      <c r="L49" s="83">
        <v>4.83</v>
      </c>
      <c r="M49" s="85" t="s">
        <v>109</v>
      </c>
      <c r="N49" s="83">
        <v>7.13</v>
      </c>
      <c r="O49" s="85" t="s">
        <v>109</v>
      </c>
      <c r="P49" s="83">
        <v>6.54</v>
      </c>
      <c r="Q49" s="85" t="s">
        <v>109</v>
      </c>
      <c r="R49" s="83" t="s">
        <v>110</v>
      </c>
      <c r="S49" s="84"/>
      <c r="T49" s="83" t="s">
        <v>110</v>
      </c>
      <c r="U49" s="84"/>
      <c r="V49" s="83">
        <v>7.62</v>
      </c>
      <c r="W49" s="85" t="s">
        <v>109</v>
      </c>
      <c r="X49" s="83">
        <v>6.98</v>
      </c>
      <c r="Y49" s="85" t="s">
        <v>109</v>
      </c>
    </row>
    <row r="50" spans="1:25" ht="12.75">
      <c r="A50" s="79" t="s">
        <v>111</v>
      </c>
      <c r="B50" s="80">
        <v>9.42</v>
      </c>
      <c r="C50" s="81"/>
      <c r="D50" s="80">
        <v>8.4</v>
      </c>
      <c r="E50" s="81"/>
      <c r="F50" s="80">
        <v>8.68</v>
      </c>
      <c r="G50" s="81"/>
      <c r="H50" s="80">
        <v>7.74</v>
      </c>
      <c r="I50" s="81"/>
      <c r="J50" s="80">
        <v>5.57</v>
      </c>
      <c r="K50" s="81"/>
      <c r="L50" s="80">
        <v>4.97</v>
      </c>
      <c r="M50" s="81"/>
      <c r="N50" s="80">
        <v>7.44</v>
      </c>
      <c r="O50" s="81"/>
      <c r="P50" s="80">
        <v>6.63</v>
      </c>
      <c r="Q50" s="81"/>
      <c r="R50" s="80" t="s">
        <v>110</v>
      </c>
      <c r="S50" s="81"/>
      <c r="T50" s="80" t="s">
        <v>110</v>
      </c>
      <c r="U50" s="81"/>
      <c r="V50" s="80">
        <v>8.09</v>
      </c>
      <c r="W50" s="81"/>
      <c r="X50" s="80">
        <v>7.21</v>
      </c>
      <c r="Y50" s="81"/>
    </row>
    <row r="51" spans="1:25" ht="12.75">
      <c r="A51" s="164" t="s">
        <v>112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6" t="s">
        <v>113</v>
      </c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7"/>
    </row>
    <row r="52" spans="1:25" ht="12.75">
      <c r="A52" s="148" t="s">
        <v>114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61"/>
    </row>
    <row r="53" spans="1:25" ht="12.75">
      <c r="A53" s="152" t="s">
        <v>115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49" t="s">
        <v>116</v>
      </c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61"/>
    </row>
    <row r="54" spans="1:25" ht="12.7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49" t="s">
        <v>117</v>
      </c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61"/>
    </row>
    <row r="55" spans="1:25" ht="12.75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49" t="s">
        <v>118</v>
      </c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61"/>
    </row>
    <row r="56" spans="1:25" ht="12.75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49" t="s">
        <v>119</v>
      </c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61"/>
    </row>
    <row r="57" spans="1:25" ht="12.75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49" t="s">
        <v>120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61"/>
    </row>
    <row r="58" spans="1:25" ht="12.75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49" t="s">
        <v>121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61"/>
    </row>
    <row r="59" spans="1:25" ht="12.75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49" t="s">
        <v>122</v>
      </c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61"/>
    </row>
    <row r="60" spans="1:25" ht="12.75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49" t="s">
        <v>123</v>
      </c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61"/>
    </row>
    <row r="61" spans="1:25" ht="12.7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49" t="s">
        <v>124</v>
      </c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61"/>
    </row>
    <row r="62" spans="1:25" ht="12.7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49" t="s">
        <v>125</v>
      </c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61"/>
    </row>
    <row r="63" spans="1:25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49" t="s">
        <v>126</v>
      </c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61"/>
    </row>
    <row r="64" spans="1:25" ht="12.75">
      <c r="A64" s="152" t="s">
        <v>127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49" t="s">
        <v>128</v>
      </c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61"/>
    </row>
    <row r="65" spans="1:25" ht="12.75">
      <c r="A65" s="152" t="s">
        <v>129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49" t="s">
        <v>130</v>
      </c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61"/>
    </row>
    <row r="66" spans="1:25" ht="12.75">
      <c r="A66" s="148" t="s">
        <v>131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 t="s">
        <v>132</v>
      </c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61"/>
    </row>
    <row r="67" spans="1:25" ht="12.75">
      <c r="A67" s="148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 t="s">
        <v>133</v>
      </c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61"/>
    </row>
    <row r="68" spans="1:25" ht="12.75">
      <c r="A68" s="148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59" t="s">
        <v>134</v>
      </c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60"/>
    </row>
    <row r="69" spans="1:25" ht="12.75">
      <c r="A69" s="14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59" t="s">
        <v>135</v>
      </c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60"/>
    </row>
    <row r="70" spans="1:25" ht="12.75">
      <c r="A70" s="148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 t="s">
        <v>136</v>
      </c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61"/>
    </row>
    <row r="71" spans="1:25" ht="12.75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50" t="s">
        <v>137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1"/>
    </row>
    <row r="72" spans="1:25" ht="12.75">
      <c r="A72" s="152" t="s">
        <v>138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54"/>
    </row>
    <row r="73" spans="1:25" ht="12.75">
      <c r="A73" s="157" t="s">
        <v>139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6"/>
    </row>
    <row r="76" spans="2:9" ht="48.75" customHeight="1">
      <c r="B76" s="146" t="s">
        <v>140</v>
      </c>
      <c r="C76" s="147"/>
      <c r="D76" s="147"/>
      <c r="E76" s="147"/>
      <c r="F76" s="147"/>
      <c r="G76" s="147"/>
      <c r="H76" s="147"/>
      <c r="I76" s="147"/>
    </row>
    <row r="77" ht="12.75">
      <c r="B77" s="87"/>
    </row>
    <row r="78" ht="12.75">
      <c r="B78" s="14"/>
    </row>
    <row r="79" ht="12.75">
      <c r="B79" s="88"/>
    </row>
    <row r="81" ht="12.75">
      <c r="B81" s="89" t="s">
        <v>141</v>
      </c>
    </row>
  </sheetData>
  <sheetProtection/>
  <mergeCells count="56">
    <mergeCell ref="A1:Y1"/>
    <mergeCell ref="A2:Y2"/>
    <mergeCell ref="A3:A4"/>
    <mergeCell ref="B3:E3"/>
    <mergeCell ref="F3:I3"/>
    <mergeCell ref="J3:M3"/>
    <mergeCell ref="N3:Q3"/>
    <mergeCell ref="R3:U3"/>
    <mergeCell ref="V3:Y3"/>
    <mergeCell ref="B4:C4"/>
    <mergeCell ref="P4:Q4"/>
    <mergeCell ref="R4:S4"/>
    <mergeCell ref="D4:E4"/>
    <mergeCell ref="F4:G4"/>
    <mergeCell ref="H4:I4"/>
    <mergeCell ref="J4:K4"/>
    <mergeCell ref="M60:Y60"/>
    <mergeCell ref="M61:Y61"/>
    <mergeCell ref="T4:U4"/>
    <mergeCell ref="V4:W4"/>
    <mergeCell ref="X4:Y4"/>
    <mergeCell ref="A51:L51"/>
    <mergeCell ref="M51:Y52"/>
    <mergeCell ref="A52:L52"/>
    <mergeCell ref="L4:M4"/>
    <mergeCell ref="N4:O4"/>
    <mergeCell ref="M54:Y54"/>
    <mergeCell ref="M55:Y55"/>
    <mergeCell ref="M56:Y56"/>
    <mergeCell ref="M57:Y57"/>
    <mergeCell ref="M58:Y58"/>
    <mergeCell ref="M59:Y59"/>
    <mergeCell ref="A65:L65"/>
    <mergeCell ref="M65:Y65"/>
    <mergeCell ref="A66:L66"/>
    <mergeCell ref="M66:Y66"/>
    <mergeCell ref="M62:Y62"/>
    <mergeCell ref="M63:Y63"/>
    <mergeCell ref="A64:L64"/>
    <mergeCell ref="M64:Y64"/>
    <mergeCell ref="A53:L63"/>
    <mergeCell ref="M53:Y53"/>
    <mergeCell ref="A69:L69"/>
    <mergeCell ref="M69:Y69"/>
    <mergeCell ref="A70:L70"/>
    <mergeCell ref="M70:Y70"/>
    <mergeCell ref="A67:L67"/>
    <mergeCell ref="M67:Y67"/>
    <mergeCell ref="A68:L68"/>
    <mergeCell ref="M68:Y68"/>
    <mergeCell ref="B76:I76"/>
    <mergeCell ref="A71:L71"/>
    <mergeCell ref="M71:Y71"/>
    <mergeCell ref="A72:L72"/>
    <mergeCell ref="M72:Y73"/>
    <mergeCell ref="A73:L7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S153"/>
  <sheetViews>
    <sheetView tabSelected="1" zoomScalePageLayoutView="0" workbookViewId="0" topLeftCell="C1">
      <pane xSplit="1" ySplit="17" topLeftCell="D18" activePane="bottomRight" state="frozen"/>
      <selection pane="topLeft" activeCell="C1" sqref="C1"/>
      <selection pane="topRight" activeCell="D1" sqref="D1"/>
      <selection pane="bottomLeft" activeCell="C18" sqref="C18"/>
      <selection pane="bottomRight" activeCell="AB20" sqref="AB20:AS20"/>
    </sheetView>
  </sheetViews>
  <sheetFormatPr defaultColWidth="9.140625" defaultRowHeight="12.75"/>
  <cols>
    <col min="1" max="1" width="1.8515625" style="0" customWidth="1"/>
    <col min="2" max="2" width="0.9921875" style="0" customWidth="1"/>
    <col min="3" max="3" width="43.140625" style="0" customWidth="1"/>
    <col min="4" max="4" width="13.8515625" style="0" customWidth="1"/>
    <col min="5" max="5" width="13.7109375" style="0" customWidth="1"/>
    <col min="6" max="6" width="17.28125" style="0" customWidth="1"/>
    <col min="7" max="7" width="17.421875" style="0" customWidth="1"/>
    <col min="8" max="8" width="12.140625" style="0" customWidth="1"/>
    <col min="9" max="9" width="11.00390625" style="0" customWidth="1"/>
    <col min="10" max="10" width="11.421875" style="0" customWidth="1"/>
    <col min="11" max="11" width="12.421875" style="0" customWidth="1"/>
    <col min="12" max="12" width="14.28125" style="0" customWidth="1"/>
    <col min="13" max="13" width="15.28125" style="0" customWidth="1"/>
    <col min="14" max="15" width="13.421875" style="0" customWidth="1"/>
    <col min="16" max="16" width="14.00390625" style="0" customWidth="1"/>
    <col min="17" max="17" width="13.8515625" style="0" customWidth="1"/>
    <col min="18" max="18" width="13.7109375" style="0" customWidth="1"/>
    <col min="19" max="19" width="14.28125" style="0" customWidth="1"/>
    <col min="20" max="20" width="13.7109375" style="0" customWidth="1"/>
    <col min="21" max="21" width="14.57421875" style="0" customWidth="1"/>
    <col min="22" max="22" width="14.28125" style="0" customWidth="1"/>
    <col min="23" max="23" width="14.421875" style="0" customWidth="1"/>
    <col min="24" max="24" width="13.421875" style="0" customWidth="1"/>
    <col min="25" max="25" width="12.421875" style="0" customWidth="1"/>
    <col min="26" max="26" width="13.28125" style="0" customWidth="1"/>
    <col min="27" max="27" width="14.7109375" style="0" customWidth="1"/>
    <col min="28" max="30" width="14.140625" style="0" customWidth="1"/>
    <col min="31" max="31" width="14.421875" style="0" customWidth="1"/>
    <col min="32" max="32" width="15.140625" style="0" customWidth="1"/>
    <col min="33" max="33" width="14.57421875" style="0" customWidth="1"/>
    <col min="34" max="34" width="13.00390625" style="0" customWidth="1"/>
    <col min="35" max="35" width="12.421875" style="0" customWidth="1"/>
    <col min="36" max="36" width="13.57421875" style="0" customWidth="1"/>
    <col min="37" max="37" width="13.140625" style="0" customWidth="1"/>
    <col min="38" max="38" width="14.8515625" style="0" customWidth="1"/>
    <col min="39" max="39" width="18.00390625" style="0" customWidth="1"/>
    <col min="40" max="40" width="15.421875" style="0" customWidth="1"/>
    <col min="41" max="41" width="18.00390625" style="0" customWidth="1"/>
    <col min="42" max="42" width="15.28125" style="0" customWidth="1"/>
    <col min="43" max="43" width="14.140625" style="0" customWidth="1"/>
    <col min="44" max="44" width="17.8515625" style="0" customWidth="1"/>
    <col min="45" max="45" width="14.421875" style="0" customWidth="1"/>
  </cols>
  <sheetData>
    <row r="2" spans="1:37" ht="12.75">
      <c r="A2" s="127"/>
      <c r="B2" s="127"/>
      <c r="C2" s="121" t="s">
        <v>94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3"/>
    </row>
    <row r="3" spans="1:37" ht="12.75">
      <c r="A3" s="128"/>
      <c r="B3" s="128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6"/>
    </row>
    <row r="4" spans="3:7" ht="38.25">
      <c r="C4" t="s">
        <v>143</v>
      </c>
      <c r="D4" s="72" t="s">
        <v>54</v>
      </c>
      <c r="E4" s="72" t="s">
        <v>55</v>
      </c>
      <c r="F4" s="72" t="s">
        <v>56</v>
      </c>
      <c r="G4" s="72" t="s">
        <v>57</v>
      </c>
    </row>
    <row r="5" spans="3:7" ht="26.25" thickBot="1">
      <c r="C5" s="70" t="s">
        <v>46</v>
      </c>
      <c r="D5" s="14" t="s">
        <v>54</v>
      </c>
      <c r="E5" s="14" t="s">
        <v>55</v>
      </c>
      <c r="F5" s="14" t="s">
        <v>56</v>
      </c>
      <c r="G5" s="14" t="s">
        <v>57</v>
      </c>
    </row>
    <row r="6" spans="3:7" ht="13.5" thickTop="1">
      <c r="C6" t="s">
        <v>42</v>
      </c>
      <c r="D6" s="13">
        <f>E137</f>
        <v>15664998.90235183</v>
      </c>
      <c r="E6" s="13">
        <f>D83</f>
        <v>25776000</v>
      </c>
      <c r="F6" s="13">
        <f>E137</f>
        <v>15664998.90235183</v>
      </c>
      <c r="G6" s="13">
        <f>E83</f>
        <v>18284520</v>
      </c>
    </row>
    <row r="7" spans="3:7" ht="12.75">
      <c r="C7" t="str">
        <f>CONCATENATE("NPV, Capital Costs, 30 Years @ ",E19)</f>
        <v>NPV, Capital Costs, 30 Years @ 0.027</v>
      </c>
      <c r="F7" s="13">
        <f>E138</f>
        <v>39417479.94401422</v>
      </c>
      <c r="G7" s="13">
        <f>E84</f>
        <v>23781751.624938175</v>
      </c>
    </row>
    <row r="8" spans="3:7" ht="12.75">
      <c r="C8" t="str">
        <f>CONCATENATE("NPV, Capital Costs, 30 Years @ ",E20)</f>
        <v>NPV, Capital Costs, 30 Years @ 0.08</v>
      </c>
      <c r="F8" s="13">
        <f>E139</f>
        <v>71019274.31662926</v>
      </c>
      <c r="G8" s="13">
        <f>E85</f>
        <v>41946325.30714636</v>
      </c>
    </row>
    <row r="9" spans="3:7" ht="12.75">
      <c r="C9" t="str">
        <f>CONCATENATE("Total Operating Costs, 30 Years, @",E19)</f>
        <v>Total Operating Costs, 30 Years, @0.027</v>
      </c>
      <c r="F9" s="13">
        <f>E140</f>
        <v>1096382321.0370748</v>
      </c>
      <c r="G9" s="13">
        <f>E86</f>
        <v>364418858.41879296</v>
      </c>
    </row>
    <row r="10" spans="3:7" ht="12.75">
      <c r="C10" t="str">
        <f>CONCATENATE("Total Operating Costs, 30 Years, @",E20)</f>
        <v>Total Operating Costs, 30 Years, @0.08</v>
      </c>
      <c r="F10" s="13">
        <f>E141</f>
        <v>2403202310.867511</v>
      </c>
      <c r="G10" s="13">
        <f>E87</f>
        <v>600741594.1080874</v>
      </c>
    </row>
    <row r="11" spans="3:7" ht="12.75">
      <c r="C11" t="str">
        <f>CONCATENATE("Total Savings @ ",E19)</f>
        <v>Total Savings @ 0.027</v>
      </c>
      <c r="F11" s="13"/>
      <c r="G11" s="13">
        <f>F9-G9</f>
        <v>731963462.6182818</v>
      </c>
    </row>
    <row r="12" spans="3:7" ht="12.75">
      <c r="C12" t="str">
        <f>CONCATENATE("Total Savings @ ",E20)</f>
        <v>Total Savings @ 0.08</v>
      </c>
      <c r="F12" s="13"/>
      <c r="G12" s="13">
        <f>F10-G10</f>
        <v>1802460716.7594233</v>
      </c>
    </row>
    <row r="13" spans="3:7" ht="12.75">
      <c r="C13" s="77" t="s">
        <v>87</v>
      </c>
      <c r="F13" s="13"/>
      <c r="G13" s="64" t="str">
        <f>IF(G12&gt;F12,"Electrification","Dieselization")</f>
        <v>Electrification</v>
      </c>
    </row>
    <row r="14" spans="6:7" ht="12.75">
      <c r="F14" s="13"/>
      <c r="G14" s="13"/>
    </row>
    <row r="15" spans="3:16" ht="13.5" thickBot="1">
      <c r="C15" s="70" t="s">
        <v>47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6" ht="26.25" thickTop="1">
      <c r="C16" t="s">
        <v>48</v>
      </c>
      <c r="D16" s="1" t="s">
        <v>49</v>
      </c>
      <c r="E16" s="2" t="s">
        <v>50</v>
      </c>
      <c r="F16" t="s">
        <v>43</v>
      </c>
    </row>
    <row r="17" spans="3:45" ht="12.75">
      <c r="C17" s="3" t="s">
        <v>0</v>
      </c>
      <c r="D17">
        <v>1973</v>
      </c>
      <c r="E17">
        <v>1974</v>
      </c>
      <c r="F17">
        <v>1974</v>
      </c>
      <c r="G17">
        <v>1975</v>
      </c>
      <c r="H17">
        <v>1976</v>
      </c>
      <c r="I17">
        <v>1977</v>
      </c>
      <c r="J17">
        <v>1978</v>
      </c>
      <c r="K17">
        <v>1979</v>
      </c>
      <c r="L17">
        <v>1980</v>
      </c>
      <c r="M17">
        <v>1981</v>
      </c>
      <c r="N17">
        <v>1982</v>
      </c>
      <c r="O17">
        <v>1983</v>
      </c>
      <c r="P17">
        <v>1984</v>
      </c>
      <c r="Q17">
        <v>1985</v>
      </c>
      <c r="R17">
        <v>1986</v>
      </c>
      <c r="S17">
        <v>1987</v>
      </c>
      <c r="T17">
        <v>1988</v>
      </c>
      <c r="U17">
        <v>1989</v>
      </c>
      <c r="V17">
        <v>1990</v>
      </c>
      <c r="W17">
        <v>1991</v>
      </c>
      <c r="X17">
        <v>1992</v>
      </c>
      <c r="Y17">
        <v>1993</v>
      </c>
      <c r="Z17">
        <v>1994</v>
      </c>
      <c r="AA17">
        <v>1995</v>
      </c>
      <c r="AB17">
        <v>1996</v>
      </c>
      <c r="AC17">
        <v>1997</v>
      </c>
      <c r="AD17">
        <v>1998</v>
      </c>
      <c r="AE17">
        <v>1999</v>
      </c>
      <c r="AF17">
        <v>2000</v>
      </c>
      <c r="AG17">
        <v>2001</v>
      </c>
      <c r="AH17">
        <v>2002</v>
      </c>
      <c r="AI17">
        <v>2003</v>
      </c>
      <c r="AJ17">
        <v>2004</v>
      </c>
      <c r="AK17">
        <v>2005</v>
      </c>
      <c r="AL17">
        <v>2006</v>
      </c>
      <c r="AM17">
        <v>2007</v>
      </c>
      <c r="AN17">
        <v>2008</v>
      </c>
      <c r="AO17">
        <v>2009</v>
      </c>
      <c r="AP17">
        <v>2010</v>
      </c>
      <c r="AQ17">
        <v>2011</v>
      </c>
      <c r="AR17">
        <v>2012</v>
      </c>
      <c r="AS17">
        <v>2013</v>
      </c>
    </row>
    <row r="18" spans="3:45" ht="12.75">
      <c r="C18" s="7" t="s">
        <v>45</v>
      </c>
      <c r="D18" s="19">
        <f>6347978+6347978*0.05*2</f>
        <v>6982775.8</v>
      </c>
      <c r="E18" s="19">
        <f>D18+D18*0.05</f>
        <v>7331914.59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3:45" ht="12.75">
      <c r="C19" s="7" t="s">
        <v>98</v>
      </c>
      <c r="D19" s="24">
        <v>2.7</v>
      </c>
      <c r="E19" s="41">
        <v>0.027</v>
      </c>
      <c r="F19" s="19">
        <f>E18</f>
        <v>7331914.59</v>
      </c>
      <c r="G19" s="19">
        <f>F19+F19*$E$19</f>
        <v>7529876.28393</v>
      </c>
      <c r="H19" s="19">
        <f aca="true" t="shared" si="0" ref="H19:AK19">G19+G19*$E$19</f>
        <v>7733182.94359611</v>
      </c>
      <c r="I19" s="19">
        <f t="shared" si="0"/>
        <v>7941978.883073205</v>
      </c>
      <c r="J19" s="19">
        <f t="shared" si="0"/>
        <v>8156412.312916182</v>
      </c>
      <c r="K19" s="19">
        <f t="shared" si="0"/>
        <v>8376635.445364919</v>
      </c>
      <c r="L19" s="19">
        <f t="shared" si="0"/>
        <v>8602804.602389771</v>
      </c>
      <c r="M19" s="19">
        <f t="shared" si="0"/>
        <v>8835080.326654295</v>
      </c>
      <c r="N19" s="19">
        <f t="shared" si="0"/>
        <v>9073627.49547396</v>
      </c>
      <c r="O19" s="19">
        <f t="shared" si="0"/>
        <v>9318615.437851757</v>
      </c>
      <c r="P19" s="19">
        <f t="shared" si="0"/>
        <v>9570218.054673754</v>
      </c>
      <c r="Q19" s="19">
        <f t="shared" si="0"/>
        <v>9828613.942149945</v>
      </c>
      <c r="R19" s="19">
        <f t="shared" si="0"/>
        <v>10093986.518587993</v>
      </c>
      <c r="S19" s="19">
        <f t="shared" si="0"/>
        <v>10366524.15458987</v>
      </c>
      <c r="T19" s="19">
        <f t="shared" si="0"/>
        <v>10646420.306763796</v>
      </c>
      <c r="U19" s="19">
        <f t="shared" si="0"/>
        <v>10933873.655046418</v>
      </c>
      <c r="V19" s="19">
        <f t="shared" si="0"/>
        <v>11229088.243732672</v>
      </c>
      <c r="W19" s="19">
        <f t="shared" si="0"/>
        <v>11532273.626313454</v>
      </c>
      <c r="X19" s="19">
        <f t="shared" si="0"/>
        <v>11843645.014223916</v>
      </c>
      <c r="Y19" s="19">
        <f t="shared" si="0"/>
        <v>12163423.429607961</v>
      </c>
      <c r="Z19" s="19">
        <f t="shared" si="0"/>
        <v>12491835.862207375</v>
      </c>
      <c r="AA19" s="19">
        <f t="shared" si="0"/>
        <v>12829115.430486975</v>
      </c>
      <c r="AB19" s="19">
        <f t="shared" si="0"/>
        <v>13175501.547110124</v>
      </c>
      <c r="AC19" s="19">
        <f t="shared" si="0"/>
        <v>13531240.088882096</v>
      </c>
      <c r="AD19" s="19">
        <f t="shared" si="0"/>
        <v>13896583.571281912</v>
      </c>
      <c r="AE19" s="19">
        <f t="shared" si="0"/>
        <v>14271791.327706523</v>
      </c>
      <c r="AF19" s="19">
        <f t="shared" si="0"/>
        <v>14657129.693554599</v>
      </c>
      <c r="AG19" s="19">
        <f t="shared" si="0"/>
        <v>15052872.195280572</v>
      </c>
      <c r="AH19" s="19">
        <f t="shared" si="0"/>
        <v>15459299.744553149</v>
      </c>
      <c r="AI19" s="19">
        <f t="shared" si="0"/>
        <v>15876700.837656084</v>
      </c>
      <c r="AJ19" s="19">
        <f t="shared" si="0"/>
        <v>16305371.760272799</v>
      </c>
      <c r="AK19" s="19">
        <f t="shared" si="0"/>
        <v>16745616.797800165</v>
      </c>
      <c r="AL19" s="19">
        <f>AK19+AK19*$E$19</f>
        <v>17197748.45134077</v>
      </c>
      <c r="AM19" s="19">
        <f>AL19+AL19*$E$19</f>
        <v>17662087.65952697</v>
      </c>
      <c r="AN19" s="19">
        <f>AM19+AM19*$E$19</f>
        <v>18138964.0263342</v>
      </c>
      <c r="AO19" s="19">
        <f>AN19+AN19*$E$19</f>
        <v>18628716.055045225</v>
      </c>
      <c r="AP19" s="19">
        <f>AO19+AO19*$E$19</f>
        <v>19131691.388531446</v>
      </c>
      <c r="AQ19" s="19">
        <f>AP19+AP19*$E$19</f>
        <v>19648247.056021795</v>
      </c>
      <c r="AR19" s="19">
        <f>AQ19+AQ19*$E$19</f>
        <v>20178749.72653438</v>
      </c>
      <c r="AS19" s="19">
        <f>AR19+AR19*$E$19</f>
        <v>20723575.96915081</v>
      </c>
    </row>
    <row r="20" spans="3:45" ht="12.75">
      <c r="C20" s="7" t="s">
        <v>98</v>
      </c>
      <c r="D20" s="24">
        <v>5</v>
      </c>
      <c r="E20" s="20">
        <v>0.08</v>
      </c>
      <c r="F20" s="19">
        <f>E18</f>
        <v>7331914.59</v>
      </c>
      <c r="G20" s="19">
        <f>F20+F20*$E$20</f>
        <v>7918467.7572</v>
      </c>
      <c r="H20" s="19">
        <f aca="true" t="shared" si="1" ref="H20:AK20">G20+G20*$E$20</f>
        <v>8551945.177776</v>
      </c>
      <c r="I20" s="19">
        <f t="shared" si="1"/>
        <v>9236100.791998079</v>
      </c>
      <c r="J20" s="19">
        <f t="shared" si="1"/>
        <v>9974988.855357926</v>
      </c>
      <c r="K20" s="19">
        <f t="shared" si="1"/>
        <v>10772987.963786561</v>
      </c>
      <c r="L20" s="19">
        <f t="shared" si="1"/>
        <v>11634827.000889486</v>
      </c>
      <c r="M20" s="19">
        <f t="shared" si="1"/>
        <v>12565613.160960644</v>
      </c>
      <c r="N20" s="19">
        <f t="shared" si="1"/>
        <v>13570862.213837497</v>
      </c>
      <c r="O20" s="19">
        <f t="shared" si="1"/>
        <v>14656531.190944497</v>
      </c>
      <c r="P20" s="19">
        <f t="shared" si="1"/>
        <v>15829053.686220057</v>
      </c>
      <c r="Q20" s="19">
        <f t="shared" si="1"/>
        <v>17095377.981117662</v>
      </c>
      <c r="R20" s="19">
        <f t="shared" si="1"/>
        <v>18463008.219607074</v>
      </c>
      <c r="S20" s="19">
        <f t="shared" si="1"/>
        <v>19940048.87717564</v>
      </c>
      <c r="T20" s="19">
        <f t="shared" si="1"/>
        <v>21535252.787349693</v>
      </c>
      <c r="U20" s="19">
        <f t="shared" si="1"/>
        <v>23258073.01033767</v>
      </c>
      <c r="V20" s="19">
        <f t="shared" si="1"/>
        <v>25118718.851164684</v>
      </c>
      <c r="W20" s="19">
        <f t="shared" si="1"/>
        <v>27128216.35925786</v>
      </c>
      <c r="X20" s="19">
        <f t="shared" si="1"/>
        <v>29298473.667998485</v>
      </c>
      <c r="Y20" s="19">
        <f t="shared" si="1"/>
        <v>31642351.561438363</v>
      </c>
      <c r="Z20" s="19">
        <f t="shared" si="1"/>
        <v>34173739.68635343</v>
      </c>
      <c r="AA20" s="19">
        <f t="shared" si="1"/>
        <v>36907638.8612617</v>
      </c>
      <c r="AB20" s="19">
        <v>36907638.8612617</v>
      </c>
      <c r="AC20" s="19">
        <v>36907638.8612617</v>
      </c>
      <c r="AD20" s="19">
        <v>36907638.8612617</v>
      </c>
      <c r="AE20" s="19">
        <v>36907638.8612617</v>
      </c>
      <c r="AF20" s="19">
        <v>36907638.8612617</v>
      </c>
      <c r="AG20" s="19">
        <v>36907638.8612617</v>
      </c>
      <c r="AH20" s="19">
        <v>36907638.8612617</v>
      </c>
      <c r="AI20" s="19">
        <v>36907638.8612617</v>
      </c>
      <c r="AJ20" s="19">
        <v>36907638.8612617</v>
      </c>
      <c r="AK20" s="19">
        <v>36907638.8612617</v>
      </c>
      <c r="AL20" s="19">
        <v>36907638.8612617</v>
      </c>
      <c r="AM20" s="19">
        <v>36907638.8612617</v>
      </c>
      <c r="AN20" s="19">
        <v>36907638.8612617</v>
      </c>
      <c r="AO20" s="19">
        <v>36907638.8612617</v>
      </c>
      <c r="AP20" s="19">
        <v>36907638.8612617</v>
      </c>
      <c r="AQ20" s="19">
        <v>36907638.8612617</v>
      </c>
      <c r="AR20" s="19">
        <v>36907638.8612617</v>
      </c>
      <c r="AS20" s="19">
        <v>36907638.8612617</v>
      </c>
    </row>
    <row r="21" spans="3:45" ht="12.75">
      <c r="C21" s="3" t="s">
        <v>1</v>
      </c>
      <c r="D21" s="21">
        <v>0.13</v>
      </c>
      <c r="E21" s="20">
        <v>0.12</v>
      </c>
      <c r="F21" s="7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3:45" ht="12.75">
      <c r="C22" s="3" t="s">
        <v>2</v>
      </c>
      <c r="D22" s="21">
        <v>0.09</v>
      </c>
      <c r="E22" s="20">
        <v>0.09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3:45" ht="12.75">
      <c r="C23" s="3" t="s">
        <v>3</v>
      </c>
      <c r="D23" s="21">
        <v>0.05</v>
      </c>
      <c r="E23" s="20">
        <v>0.05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3:45" ht="12.75">
      <c r="C24" s="7" t="s">
        <v>44</v>
      </c>
      <c r="D24" s="40"/>
      <c r="E24" s="40"/>
      <c r="F24" s="65">
        <v>1</v>
      </c>
      <c r="G24" s="65">
        <f>F24+F24*$E$23</f>
        <v>1.05</v>
      </c>
      <c r="H24" s="65">
        <f aca="true" t="shared" si="2" ref="H24:AK24">G24+G24*$E$23</f>
        <v>1.1025</v>
      </c>
      <c r="I24" s="65">
        <f t="shared" si="2"/>
        <v>1.1576250000000001</v>
      </c>
      <c r="J24" s="65">
        <f t="shared" si="2"/>
        <v>1.2155062500000002</v>
      </c>
      <c r="K24" s="65">
        <f t="shared" si="2"/>
        <v>1.2762815625000004</v>
      </c>
      <c r="L24" s="65">
        <f t="shared" si="2"/>
        <v>1.3400956406250004</v>
      </c>
      <c r="M24" s="65">
        <f t="shared" si="2"/>
        <v>1.4071004226562505</v>
      </c>
      <c r="N24" s="65">
        <f t="shared" si="2"/>
        <v>1.477455443789063</v>
      </c>
      <c r="O24" s="65">
        <f t="shared" si="2"/>
        <v>1.5513282159785162</v>
      </c>
      <c r="P24" s="65">
        <f t="shared" si="2"/>
        <v>1.628894626777442</v>
      </c>
      <c r="Q24" s="65">
        <f t="shared" si="2"/>
        <v>1.7103393581163142</v>
      </c>
      <c r="R24" s="65">
        <f t="shared" si="2"/>
        <v>1.7958563260221299</v>
      </c>
      <c r="S24" s="65">
        <f t="shared" si="2"/>
        <v>1.8856491423232364</v>
      </c>
      <c r="T24" s="65">
        <f t="shared" si="2"/>
        <v>1.9799315994393982</v>
      </c>
      <c r="U24" s="65">
        <f t="shared" si="2"/>
        <v>2.0789281794113683</v>
      </c>
      <c r="V24" s="65">
        <f t="shared" si="2"/>
        <v>2.182874588381937</v>
      </c>
      <c r="W24" s="65">
        <f t="shared" si="2"/>
        <v>2.2920183178010336</v>
      </c>
      <c r="X24" s="65">
        <f t="shared" si="2"/>
        <v>2.406619233691085</v>
      </c>
      <c r="Y24" s="65">
        <f t="shared" si="2"/>
        <v>2.5269501953756395</v>
      </c>
      <c r="Z24" s="65">
        <f t="shared" si="2"/>
        <v>2.6532977051444213</v>
      </c>
      <c r="AA24" s="65">
        <f t="shared" si="2"/>
        <v>2.7859625904016423</v>
      </c>
      <c r="AB24" s="65">
        <f t="shared" si="2"/>
        <v>2.925260719921724</v>
      </c>
      <c r="AC24" s="65">
        <f t="shared" si="2"/>
        <v>3.0715237559178106</v>
      </c>
      <c r="AD24" s="65">
        <f t="shared" si="2"/>
        <v>3.225099943713701</v>
      </c>
      <c r="AE24" s="65">
        <f t="shared" si="2"/>
        <v>3.3863549408993863</v>
      </c>
      <c r="AF24" s="65">
        <f t="shared" si="2"/>
        <v>3.5556726879443556</v>
      </c>
      <c r="AG24" s="65">
        <f t="shared" si="2"/>
        <v>3.7334563223415733</v>
      </c>
      <c r="AH24" s="65">
        <f t="shared" si="2"/>
        <v>3.920129138458652</v>
      </c>
      <c r="AI24" s="65">
        <f t="shared" si="2"/>
        <v>4.116135595381585</v>
      </c>
      <c r="AJ24" s="65">
        <f t="shared" si="2"/>
        <v>4.321942375150664</v>
      </c>
      <c r="AK24" s="65">
        <f t="shared" si="2"/>
        <v>4.538039493908197</v>
      </c>
      <c r="AL24" s="65">
        <f>AK24+AK24*$E$23</f>
        <v>4.764941468603607</v>
      </c>
      <c r="AM24" s="65">
        <f>AL24+AL24*$E$23</f>
        <v>5.003188542033787</v>
      </c>
      <c r="AN24" s="65">
        <f>AM24+AM24*$E$23</f>
        <v>5.2533479691354765</v>
      </c>
      <c r="AO24" s="65">
        <f>AN24+AN24*$E$23</f>
        <v>5.51601536759225</v>
      </c>
      <c r="AP24" s="65">
        <f>AO24+AO24*$E$23</f>
        <v>5.791816135971863</v>
      </c>
      <c r="AQ24" s="65">
        <f>AP24+AP24*$E$23</f>
        <v>6.081406942770456</v>
      </c>
      <c r="AR24" s="65">
        <f>AQ24+AQ24*$E$23</f>
        <v>6.3854772899089784</v>
      </c>
      <c r="AS24" s="65">
        <f>AR24+AR24*$E$23</f>
        <v>6.704751154404427</v>
      </c>
    </row>
    <row r="25" spans="3:45" ht="12.75">
      <c r="C25" s="3" t="s">
        <v>4</v>
      </c>
      <c r="D25" s="21">
        <v>0.01</v>
      </c>
      <c r="E25" s="20">
        <v>0.01</v>
      </c>
      <c r="F25" s="27">
        <f>$E$68*F24/100</f>
        <v>117730</v>
      </c>
      <c r="G25" s="27">
        <f aca="true" t="shared" si="3" ref="G25:AK25">$E$68*G24/100</f>
        <v>123616.5</v>
      </c>
      <c r="H25" s="27">
        <f t="shared" si="3"/>
        <v>129797.325</v>
      </c>
      <c r="I25" s="27">
        <f t="shared" si="3"/>
        <v>136287.19125000003</v>
      </c>
      <c r="J25" s="27">
        <f t="shared" si="3"/>
        <v>143101.55081250003</v>
      </c>
      <c r="K25" s="27">
        <f t="shared" si="3"/>
        <v>150256.62835312504</v>
      </c>
      <c r="L25" s="27">
        <f t="shared" si="3"/>
        <v>157769.4597707813</v>
      </c>
      <c r="M25" s="27">
        <f t="shared" si="3"/>
        <v>165657.93275932036</v>
      </c>
      <c r="N25" s="27">
        <f t="shared" si="3"/>
        <v>173940.8293972864</v>
      </c>
      <c r="O25" s="27">
        <f t="shared" si="3"/>
        <v>182637.87086715072</v>
      </c>
      <c r="P25" s="27">
        <f t="shared" si="3"/>
        <v>191769.76441050824</v>
      </c>
      <c r="Q25" s="27">
        <f t="shared" si="3"/>
        <v>201358.25263103365</v>
      </c>
      <c r="R25" s="27">
        <f t="shared" si="3"/>
        <v>211426.16526258536</v>
      </c>
      <c r="S25" s="27">
        <f t="shared" si="3"/>
        <v>221997.47352571462</v>
      </c>
      <c r="T25" s="27">
        <f t="shared" si="3"/>
        <v>233097.34720200035</v>
      </c>
      <c r="U25" s="27">
        <f t="shared" si="3"/>
        <v>244752.2145621004</v>
      </c>
      <c r="V25" s="27">
        <f t="shared" si="3"/>
        <v>256989.82529020545</v>
      </c>
      <c r="W25" s="27">
        <f t="shared" si="3"/>
        <v>269839.3165547157</v>
      </c>
      <c r="X25" s="27">
        <f t="shared" si="3"/>
        <v>283331.28238245146</v>
      </c>
      <c r="Y25" s="27">
        <f t="shared" si="3"/>
        <v>297497.84650157404</v>
      </c>
      <c r="Z25" s="27">
        <f t="shared" si="3"/>
        <v>312372.73882665276</v>
      </c>
      <c r="AA25" s="27">
        <f t="shared" si="3"/>
        <v>327991.37576798536</v>
      </c>
      <c r="AB25" s="27">
        <f t="shared" si="3"/>
        <v>344390.9445563846</v>
      </c>
      <c r="AC25" s="27">
        <f t="shared" si="3"/>
        <v>361610.49178420386</v>
      </c>
      <c r="AD25" s="27">
        <f t="shared" si="3"/>
        <v>379691.016373414</v>
      </c>
      <c r="AE25" s="27">
        <f t="shared" si="3"/>
        <v>398675.56719208474</v>
      </c>
      <c r="AF25" s="27">
        <f t="shared" si="3"/>
        <v>418609.345551689</v>
      </c>
      <c r="AG25" s="27">
        <f t="shared" si="3"/>
        <v>439539.8128292734</v>
      </c>
      <c r="AH25" s="27">
        <f t="shared" si="3"/>
        <v>461516.8034707371</v>
      </c>
      <c r="AI25" s="27">
        <f t="shared" si="3"/>
        <v>484592.643644274</v>
      </c>
      <c r="AJ25" s="27">
        <f t="shared" si="3"/>
        <v>508822.2758264877</v>
      </c>
      <c r="AK25" s="27">
        <f t="shared" si="3"/>
        <v>534263.3896178121</v>
      </c>
      <c r="AL25" s="27">
        <f aca="true" t="shared" si="4" ref="AL25:AS25">$E$68*AL24/100</f>
        <v>560976.5590987026</v>
      </c>
      <c r="AM25" s="27">
        <f t="shared" si="4"/>
        <v>589025.3870536378</v>
      </c>
      <c r="AN25" s="27">
        <f t="shared" si="4"/>
        <v>618476.6564063197</v>
      </c>
      <c r="AO25" s="27">
        <f t="shared" si="4"/>
        <v>649400.4892266357</v>
      </c>
      <c r="AP25" s="27">
        <f t="shared" si="4"/>
        <v>681870.5136879673</v>
      </c>
      <c r="AQ25" s="27">
        <f t="shared" si="4"/>
        <v>715964.0393723658</v>
      </c>
      <c r="AR25" s="27">
        <f t="shared" si="4"/>
        <v>751762.2413409841</v>
      </c>
      <c r="AS25" s="27">
        <f t="shared" si="4"/>
        <v>789350.3534080333</v>
      </c>
    </row>
    <row r="26" spans="3:45" ht="12.75">
      <c r="C26" s="3" t="s">
        <v>5</v>
      </c>
      <c r="D26" s="24" t="s">
        <v>40</v>
      </c>
      <c r="E26" s="17" t="s">
        <v>40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3:45" ht="12.75">
      <c r="C27" s="7" t="s">
        <v>97</v>
      </c>
      <c r="D27" s="23">
        <v>50</v>
      </c>
      <c r="E27" s="66">
        <v>50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3:45" ht="12.75">
      <c r="C28" s="3" t="s">
        <v>6</v>
      </c>
      <c r="D28" s="23">
        <v>50</v>
      </c>
      <c r="E28" s="66">
        <v>50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3:45" ht="12.75">
      <c r="C29" s="3" t="s">
        <v>7</v>
      </c>
      <c r="D29" s="23">
        <v>30</v>
      </c>
      <c r="E29" s="66">
        <v>30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3:45" ht="12.75">
      <c r="C30" s="3" t="s">
        <v>8</v>
      </c>
      <c r="D30" s="23">
        <v>15</v>
      </c>
      <c r="E30" s="66">
        <v>15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3:45" ht="12.75">
      <c r="C31" s="3" t="s">
        <v>9</v>
      </c>
      <c r="D31" s="23" t="s">
        <v>41</v>
      </c>
      <c r="E31" s="66" t="s">
        <v>41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3:45" ht="12.75">
      <c r="C32" s="3" t="s">
        <v>96</v>
      </c>
      <c r="D32" s="37"/>
      <c r="E32" s="37">
        <f>660+212</f>
        <v>872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3:45" ht="13.5" thickBot="1">
      <c r="C33" s="4" t="s">
        <v>10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3:45" ht="12.75">
      <c r="C34" s="3" t="str">
        <f>CONCATENATE("Electric Power Consumption @ ",E19)</f>
        <v>Electric Power Consumption @ 0.027</v>
      </c>
      <c r="D34" s="19">
        <v>259625000</v>
      </c>
      <c r="E34" s="50"/>
      <c r="F34" s="19">
        <f>$D$34/$D$18*F19</f>
        <v>272606250</v>
      </c>
      <c r="G34" s="19">
        <f>$D$34/$D$18*G19</f>
        <v>279966618.75</v>
      </c>
      <c r="H34" s="19">
        <f aca="true" t="shared" si="5" ref="H34:AK35">$D$34/$D$18*H19</f>
        <v>287525717.45625</v>
      </c>
      <c r="I34" s="19">
        <f t="shared" si="5"/>
        <v>295288911.82756877</v>
      </c>
      <c r="J34" s="19">
        <f t="shared" si="5"/>
        <v>303261712.4469131</v>
      </c>
      <c r="K34" s="19">
        <f t="shared" si="5"/>
        <v>311449778.68297976</v>
      </c>
      <c r="L34" s="19">
        <f t="shared" si="5"/>
        <v>319858922.70742023</v>
      </c>
      <c r="M34" s="19">
        <f t="shared" si="5"/>
        <v>328495113.62052053</v>
      </c>
      <c r="N34" s="19">
        <f t="shared" si="5"/>
        <v>337364481.68827456</v>
      </c>
      <c r="O34" s="19">
        <f t="shared" si="5"/>
        <v>346473322.69385797</v>
      </c>
      <c r="P34" s="19">
        <f t="shared" si="5"/>
        <v>355828102.40659213</v>
      </c>
      <c r="Q34" s="19">
        <f t="shared" si="5"/>
        <v>365435461.1715701</v>
      </c>
      <c r="R34" s="19">
        <f t="shared" si="5"/>
        <v>375302218.6232025</v>
      </c>
      <c r="S34" s="19">
        <f t="shared" si="5"/>
        <v>385435378.52602893</v>
      </c>
      <c r="T34" s="19">
        <f t="shared" si="5"/>
        <v>395842133.74623173</v>
      </c>
      <c r="U34" s="19">
        <f t="shared" si="5"/>
        <v>406529871.35738003</v>
      </c>
      <c r="V34" s="19">
        <f t="shared" si="5"/>
        <v>417506177.88402927</v>
      </c>
      <c r="W34" s="19">
        <f t="shared" si="5"/>
        <v>428778844.68689805</v>
      </c>
      <c r="X34" s="19">
        <f t="shared" si="5"/>
        <v>440355873.49344426</v>
      </c>
      <c r="Y34" s="19">
        <f t="shared" si="5"/>
        <v>452245482.07776725</v>
      </c>
      <c r="Z34" s="19">
        <f t="shared" si="5"/>
        <v>464456110.09386694</v>
      </c>
      <c r="AA34" s="19">
        <f t="shared" si="5"/>
        <v>476996425.06640136</v>
      </c>
      <c r="AB34" s="19">
        <f t="shared" si="5"/>
        <v>489875328.5431942</v>
      </c>
      <c r="AC34" s="19">
        <f t="shared" si="5"/>
        <v>503101962.41386044</v>
      </c>
      <c r="AD34" s="19">
        <f t="shared" si="5"/>
        <v>516685715.3990346</v>
      </c>
      <c r="AE34" s="19">
        <f t="shared" si="5"/>
        <v>530636229.7148085</v>
      </c>
      <c r="AF34" s="19">
        <f t="shared" si="5"/>
        <v>544963407.9171083</v>
      </c>
      <c r="AG34" s="19">
        <f t="shared" si="5"/>
        <v>559677419.9308703</v>
      </c>
      <c r="AH34" s="19">
        <f t="shared" si="5"/>
        <v>574788710.2690037</v>
      </c>
      <c r="AI34" s="19">
        <f t="shared" si="5"/>
        <v>590308005.4462669</v>
      </c>
      <c r="AJ34" s="19">
        <f t="shared" si="5"/>
        <v>606246321.5933161</v>
      </c>
      <c r="AK34" s="19">
        <f t="shared" si="5"/>
        <v>622614972.2763357</v>
      </c>
      <c r="AL34" s="19">
        <f aca="true" t="shared" si="6" ref="AL34:AS34">$D$34/$D$18*AL19</f>
        <v>639425576.5277967</v>
      </c>
      <c r="AM34" s="19">
        <f t="shared" si="6"/>
        <v>656690067.0940473</v>
      </c>
      <c r="AN34" s="19">
        <f t="shared" si="6"/>
        <v>674420698.9055866</v>
      </c>
      <c r="AO34" s="19">
        <f t="shared" si="6"/>
        <v>692630057.7760375</v>
      </c>
      <c r="AP34" s="19">
        <f t="shared" si="6"/>
        <v>711331069.3359905</v>
      </c>
      <c r="AQ34" s="19">
        <f t="shared" si="6"/>
        <v>730537008.2080622</v>
      </c>
      <c r="AR34" s="19">
        <f t="shared" si="6"/>
        <v>750261507.4296799</v>
      </c>
      <c r="AS34" s="19">
        <f t="shared" si="6"/>
        <v>770518568.1302812</v>
      </c>
    </row>
    <row r="35" spans="3:45" ht="12.75">
      <c r="C35" s="3" t="str">
        <f>CONCATENATE("Electric Power Consumption @ ",E20)</f>
        <v>Electric Power Consumption @ 0.08</v>
      </c>
      <c r="D35" s="19">
        <v>259625000</v>
      </c>
      <c r="E35" s="50"/>
      <c r="F35" s="19">
        <f>$D$34/$D$18*F20</f>
        <v>272606250</v>
      </c>
      <c r="G35" s="19">
        <f>$D$34/$D$18*G20</f>
        <v>294414750</v>
      </c>
      <c r="H35" s="19">
        <f t="shared" si="5"/>
        <v>317967930</v>
      </c>
      <c r="I35" s="19">
        <f t="shared" si="5"/>
        <v>343405364.4</v>
      </c>
      <c r="J35" s="19">
        <f t="shared" si="5"/>
        <v>370877793.552</v>
      </c>
      <c r="K35" s="19">
        <f t="shared" si="5"/>
        <v>400548017.03616</v>
      </c>
      <c r="L35" s="19">
        <f t="shared" si="5"/>
        <v>432591858.3990528</v>
      </c>
      <c r="M35" s="19">
        <f t="shared" si="5"/>
        <v>467199207.07097703</v>
      </c>
      <c r="N35" s="19">
        <f t="shared" si="5"/>
        <v>504575143.6366552</v>
      </c>
      <c r="O35" s="19">
        <f t="shared" si="5"/>
        <v>544941155.1275877</v>
      </c>
      <c r="P35" s="19">
        <f t="shared" si="5"/>
        <v>588536447.5377947</v>
      </c>
      <c r="Q35" s="19">
        <f t="shared" si="5"/>
        <v>635619363.3408183</v>
      </c>
      <c r="R35" s="19">
        <f t="shared" si="5"/>
        <v>686468912.4080837</v>
      </c>
      <c r="S35" s="19">
        <f t="shared" si="5"/>
        <v>741386425.4007304</v>
      </c>
      <c r="T35" s="19">
        <f t="shared" si="5"/>
        <v>800697339.4327888</v>
      </c>
      <c r="U35" s="19">
        <f t="shared" si="5"/>
        <v>864753126.587412</v>
      </c>
      <c r="V35" s="19">
        <f t="shared" si="5"/>
        <v>933933376.7144051</v>
      </c>
      <c r="W35" s="19">
        <f t="shared" si="5"/>
        <v>1008648046.8515574</v>
      </c>
      <c r="X35" s="19">
        <f t="shared" si="5"/>
        <v>1089339890.5996819</v>
      </c>
      <c r="Y35" s="19">
        <f t="shared" si="5"/>
        <v>1176487081.8476565</v>
      </c>
      <c r="Z35" s="19">
        <f t="shared" si="5"/>
        <v>1270606048.395469</v>
      </c>
      <c r="AA35" s="19">
        <f t="shared" si="5"/>
        <v>1372254532.2671063</v>
      </c>
      <c r="AB35" s="19">
        <f t="shared" si="5"/>
        <v>1372254532.2671063</v>
      </c>
      <c r="AC35" s="19">
        <f t="shared" si="5"/>
        <v>1372254532.2671063</v>
      </c>
      <c r="AD35" s="19">
        <f t="shared" si="5"/>
        <v>1372254532.2671063</v>
      </c>
      <c r="AE35" s="19">
        <f t="shared" si="5"/>
        <v>1372254532.2671063</v>
      </c>
      <c r="AF35" s="19">
        <f t="shared" si="5"/>
        <v>1372254532.2671063</v>
      </c>
      <c r="AG35" s="19">
        <f t="shared" si="5"/>
        <v>1372254532.2671063</v>
      </c>
      <c r="AH35" s="19">
        <f t="shared" si="5"/>
        <v>1372254532.2671063</v>
      </c>
      <c r="AI35" s="19">
        <f t="shared" si="5"/>
        <v>1372254532.2671063</v>
      </c>
      <c r="AJ35" s="19">
        <f t="shared" si="5"/>
        <v>1372254532.2671063</v>
      </c>
      <c r="AK35" s="19">
        <f>$D$34/$D$18*AK20</f>
        <v>1372254532.2671063</v>
      </c>
      <c r="AL35" s="19">
        <f aca="true" t="shared" si="7" ref="AL35:AS35">$D$34/$D$18*AL20</f>
        <v>1372254532.2671063</v>
      </c>
      <c r="AM35" s="19">
        <f t="shared" si="7"/>
        <v>1372254532.2671063</v>
      </c>
      <c r="AN35" s="19">
        <f t="shared" si="7"/>
        <v>1372254532.2671063</v>
      </c>
      <c r="AO35" s="19">
        <f t="shared" si="7"/>
        <v>1372254532.2671063</v>
      </c>
      <c r="AP35" s="19">
        <f t="shared" si="7"/>
        <v>1372254532.2671063</v>
      </c>
      <c r="AQ35" s="19">
        <f t="shared" si="7"/>
        <v>1372254532.2671063</v>
      </c>
      <c r="AR35" s="19">
        <f t="shared" si="7"/>
        <v>1372254532.2671063</v>
      </c>
      <c r="AS35" s="19">
        <f t="shared" si="7"/>
        <v>1372254532.2671063</v>
      </c>
    </row>
    <row r="36" spans="3:45" ht="12.75">
      <c r="C36" s="3" t="s">
        <v>11</v>
      </c>
      <c r="D36" s="38">
        <v>7.75</v>
      </c>
      <c r="E36" s="51">
        <v>7.75</v>
      </c>
      <c r="F36" s="83">
        <v>7.7</v>
      </c>
      <c r="G36" s="80">
        <v>7.6</v>
      </c>
      <c r="H36" s="80">
        <v>7.5</v>
      </c>
      <c r="I36" s="83">
        <v>7.4</v>
      </c>
      <c r="J36" s="80">
        <v>7.4</v>
      </c>
      <c r="K36" s="80">
        <v>7.4</v>
      </c>
      <c r="L36" s="83">
        <v>7.4</v>
      </c>
      <c r="M36" s="80">
        <v>7.3</v>
      </c>
      <c r="N36" s="80">
        <v>8</v>
      </c>
      <c r="O36" s="83">
        <v>7.7</v>
      </c>
      <c r="P36" s="80">
        <v>7.14</v>
      </c>
      <c r="Q36" s="80">
        <v>7.13</v>
      </c>
      <c r="R36" s="83">
        <v>6.92</v>
      </c>
      <c r="S36" s="80">
        <v>6.52</v>
      </c>
      <c r="T36" s="80">
        <v>6.21</v>
      </c>
      <c r="U36" s="83">
        <v>6.01</v>
      </c>
      <c r="V36" s="80">
        <v>5.81</v>
      </c>
      <c r="W36" s="80">
        <v>5.72</v>
      </c>
      <c r="X36" s="83">
        <v>5.59</v>
      </c>
      <c r="Y36" s="80">
        <v>5.49</v>
      </c>
      <c r="Z36" s="80">
        <v>5.28</v>
      </c>
      <c r="AA36" s="83">
        <v>5.06</v>
      </c>
      <c r="AB36" s="80">
        <v>4.9</v>
      </c>
      <c r="AC36" s="80">
        <v>4.75</v>
      </c>
      <c r="AD36" s="83">
        <v>4.64</v>
      </c>
      <c r="AE36" s="80">
        <v>4.53</v>
      </c>
      <c r="AF36" s="80">
        <v>4.64</v>
      </c>
      <c r="AG36" s="83">
        <v>4.86</v>
      </c>
      <c r="AH36" s="80">
        <v>4.71</v>
      </c>
      <c r="AI36" s="80">
        <v>4.82</v>
      </c>
      <c r="AJ36" s="83">
        <v>4.83</v>
      </c>
      <c r="AK36" s="80">
        <v>4.97</v>
      </c>
      <c r="AL36" s="80">
        <v>5.97</v>
      </c>
      <c r="AM36" s="80">
        <v>6.97</v>
      </c>
      <c r="AN36" s="80">
        <v>7.97</v>
      </c>
      <c r="AO36" s="80">
        <v>8.97</v>
      </c>
      <c r="AP36" s="80">
        <v>9.97</v>
      </c>
      <c r="AQ36" s="80">
        <v>10.97</v>
      </c>
      <c r="AR36" s="80">
        <v>11.97</v>
      </c>
      <c r="AS36" s="80">
        <v>12.97</v>
      </c>
    </row>
    <row r="37" spans="3:45" ht="12.75">
      <c r="C37" s="3" t="s">
        <v>12</v>
      </c>
      <c r="D37" s="24">
        <v>7.5</v>
      </c>
      <c r="E37" s="17">
        <v>7.5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3:45" ht="12.75">
      <c r="C38" s="3" t="s">
        <v>13</v>
      </c>
      <c r="D38" s="24">
        <v>7</v>
      </c>
      <c r="E38" s="17">
        <v>7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3:45" ht="12.75">
      <c r="C39" s="3" t="s">
        <v>14</v>
      </c>
      <c r="D39" s="24">
        <v>8</v>
      </c>
      <c r="E39" s="17">
        <v>8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3:45" ht="12.75">
      <c r="C40" s="3" t="s">
        <v>15</v>
      </c>
      <c r="D40" s="39">
        <v>0.01</v>
      </c>
      <c r="E40" s="41"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3:45" ht="12.75">
      <c r="C41" s="3" t="str">
        <f>CONCATENATE("Total Electric Power Cost @",E19)</f>
        <v>Total Electric Power Cost @0.027</v>
      </c>
      <c r="D41" s="27">
        <v>2012656</v>
      </c>
      <c r="E41" s="27">
        <v>2012656</v>
      </c>
      <c r="F41" s="18">
        <f>F34*F36/1000</f>
        <v>2099068.125</v>
      </c>
      <c r="G41" s="18">
        <f aca="true" t="shared" si="8" ref="G41:AK41">G34*G36/1000</f>
        <v>2127746.3025</v>
      </c>
      <c r="H41" s="18">
        <f t="shared" si="8"/>
        <v>2156442.880921875</v>
      </c>
      <c r="I41" s="18">
        <f t="shared" si="8"/>
        <v>2185137.9475240093</v>
      </c>
      <c r="J41" s="18">
        <f t="shared" si="8"/>
        <v>2244136.6721071573</v>
      </c>
      <c r="K41" s="18">
        <f t="shared" si="8"/>
        <v>2304728.36225405</v>
      </c>
      <c r="L41" s="18">
        <f t="shared" si="8"/>
        <v>2366956.0280349096</v>
      </c>
      <c r="M41" s="18">
        <f t="shared" si="8"/>
        <v>2398014.3294298</v>
      </c>
      <c r="N41" s="18">
        <f t="shared" si="8"/>
        <v>2698915.8535061963</v>
      </c>
      <c r="O41" s="18">
        <f t="shared" si="8"/>
        <v>2667844.5847427063</v>
      </c>
      <c r="P41" s="18">
        <f t="shared" si="8"/>
        <v>2540612.651183068</v>
      </c>
      <c r="Q41" s="18">
        <f t="shared" si="8"/>
        <v>2605554.838153295</v>
      </c>
      <c r="R41" s="18">
        <f t="shared" si="8"/>
        <v>2597091.3528725617</v>
      </c>
      <c r="S41" s="18">
        <f t="shared" si="8"/>
        <v>2513038.6679897085</v>
      </c>
      <c r="T41" s="18">
        <f t="shared" si="8"/>
        <v>2458179.6505640987</v>
      </c>
      <c r="U41" s="18">
        <f t="shared" si="8"/>
        <v>2443244.526857854</v>
      </c>
      <c r="V41" s="18">
        <f t="shared" si="8"/>
        <v>2425710.89350621</v>
      </c>
      <c r="W41" s="18">
        <f t="shared" si="8"/>
        <v>2452614.991609057</v>
      </c>
      <c r="X41" s="18">
        <f t="shared" si="8"/>
        <v>2461589.3328283536</v>
      </c>
      <c r="Y41" s="18">
        <f t="shared" si="8"/>
        <v>2482827.696606942</v>
      </c>
      <c r="Z41" s="18">
        <f t="shared" si="8"/>
        <v>2452328.2612956176</v>
      </c>
      <c r="AA41" s="18">
        <f t="shared" si="8"/>
        <v>2413601.9108359907</v>
      </c>
      <c r="AB41" s="18">
        <f t="shared" si="8"/>
        <v>2400389.1098616514</v>
      </c>
      <c r="AC41" s="18">
        <f t="shared" si="8"/>
        <v>2389734.321465837</v>
      </c>
      <c r="AD41" s="18">
        <f t="shared" si="8"/>
        <v>2397421.7194515206</v>
      </c>
      <c r="AE41" s="18">
        <f t="shared" si="8"/>
        <v>2403782.120608083</v>
      </c>
      <c r="AF41" s="18">
        <f t="shared" si="8"/>
        <v>2528630.2127353824</v>
      </c>
      <c r="AG41" s="18">
        <f t="shared" si="8"/>
        <v>2720032.26086403</v>
      </c>
      <c r="AH41" s="18">
        <f t="shared" si="8"/>
        <v>2707254.825367008</v>
      </c>
      <c r="AI41" s="18">
        <f t="shared" si="8"/>
        <v>2845284.5862510065</v>
      </c>
      <c r="AJ41" s="18">
        <f t="shared" si="8"/>
        <v>2928169.733295717</v>
      </c>
      <c r="AK41" s="18">
        <f t="shared" si="8"/>
        <v>3094396.4122133884</v>
      </c>
      <c r="AL41" s="18">
        <f aca="true" t="shared" si="9" ref="AL41:AS41">AL34*AL36/1000</f>
        <v>3817370.6918709464</v>
      </c>
      <c r="AM41" s="18">
        <f t="shared" si="9"/>
        <v>4577129.76764551</v>
      </c>
      <c r="AN41" s="18">
        <f t="shared" si="9"/>
        <v>5375132.970277525</v>
      </c>
      <c r="AO41" s="18">
        <f t="shared" si="9"/>
        <v>6212891.618251056</v>
      </c>
      <c r="AP41" s="18">
        <f t="shared" si="9"/>
        <v>7091970.761279826</v>
      </c>
      <c r="AQ41" s="18">
        <f t="shared" si="9"/>
        <v>8013990.980042443</v>
      </c>
      <c r="AR41" s="18">
        <f t="shared" si="9"/>
        <v>8980630.243933268</v>
      </c>
      <c r="AS41" s="18">
        <f t="shared" si="9"/>
        <v>9993625.828649748</v>
      </c>
    </row>
    <row r="42" spans="3:45" ht="12.75">
      <c r="C42" s="3" t="str">
        <f>CONCATENATE("Total Electric Power Cost @",E20)</f>
        <v>Total Electric Power Cost @0.08</v>
      </c>
      <c r="D42" s="27">
        <v>2012656</v>
      </c>
      <c r="E42" s="27">
        <v>2012656</v>
      </c>
      <c r="F42" s="18">
        <f>F35*F36/1000</f>
        <v>2099068.125</v>
      </c>
      <c r="G42" s="18">
        <f aca="true" t="shared" si="10" ref="G42:AK42">G35*G36/1000</f>
        <v>2237552.1</v>
      </c>
      <c r="H42" s="18">
        <f t="shared" si="10"/>
        <v>2384759.475</v>
      </c>
      <c r="I42" s="18">
        <f t="shared" si="10"/>
        <v>2541199.69656</v>
      </c>
      <c r="J42" s="18">
        <f t="shared" si="10"/>
        <v>2744495.6722848</v>
      </c>
      <c r="K42" s="18">
        <f t="shared" si="10"/>
        <v>2964055.326067584</v>
      </c>
      <c r="L42" s="18">
        <f t="shared" si="10"/>
        <v>3201179.752152991</v>
      </c>
      <c r="M42" s="18">
        <f t="shared" si="10"/>
        <v>3410554.211618132</v>
      </c>
      <c r="N42" s="18">
        <f t="shared" si="10"/>
        <v>4036601.149093242</v>
      </c>
      <c r="O42" s="18">
        <f t="shared" si="10"/>
        <v>4196046.894482425</v>
      </c>
      <c r="P42" s="18">
        <f t="shared" si="10"/>
        <v>4202150.2354198545</v>
      </c>
      <c r="Q42" s="18">
        <f t="shared" si="10"/>
        <v>4531966.060620034</v>
      </c>
      <c r="R42" s="18">
        <f t="shared" si="10"/>
        <v>4750364.873863939</v>
      </c>
      <c r="S42" s="18">
        <f t="shared" si="10"/>
        <v>4833839.493612762</v>
      </c>
      <c r="T42" s="18">
        <f t="shared" si="10"/>
        <v>4972330.477877619</v>
      </c>
      <c r="U42" s="18">
        <f t="shared" si="10"/>
        <v>5197166.290790346</v>
      </c>
      <c r="V42" s="18">
        <f t="shared" si="10"/>
        <v>5426152.918710694</v>
      </c>
      <c r="W42" s="18">
        <f t="shared" si="10"/>
        <v>5769466.827990907</v>
      </c>
      <c r="X42" s="18">
        <f t="shared" si="10"/>
        <v>6089409.988452222</v>
      </c>
      <c r="Y42" s="18">
        <f t="shared" si="10"/>
        <v>6458914.079343635</v>
      </c>
      <c r="Z42" s="18">
        <f t="shared" si="10"/>
        <v>6708799.935528076</v>
      </c>
      <c r="AA42" s="18">
        <f t="shared" si="10"/>
        <v>6943607.933271557</v>
      </c>
      <c r="AB42" s="18">
        <f t="shared" si="10"/>
        <v>6724047.208108821</v>
      </c>
      <c r="AC42" s="18">
        <f t="shared" si="10"/>
        <v>6518209.028268755</v>
      </c>
      <c r="AD42" s="18">
        <f t="shared" si="10"/>
        <v>6367261.029719373</v>
      </c>
      <c r="AE42" s="18">
        <f t="shared" si="10"/>
        <v>6216313.031169992</v>
      </c>
      <c r="AF42" s="18">
        <f t="shared" si="10"/>
        <v>6367261.029719373</v>
      </c>
      <c r="AG42" s="18">
        <f t="shared" si="10"/>
        <v>6669157.026818138</v>
      </c>
      <c r="AH42" s="18">
        <f t="shared" si="10"/>
        <v>6463318.84697807</v>
      </c>
      <c r="AI42" s="18">
        <f t="shared" si="10"/>
        <v>6614266.845527452</v>
      </c>
      <c r="AJ42" s="18">
        <f t="shared" si="10"/>
        <v>6627989.390850123</v>
      </c>
      <c r="AK42" s="18">
        <f t="shared" si="10"/>
        <v>6820105.025367517</v>
      </c>
      <c r="AL42" s="18">
        <f aca="true" t="shared" si="11" ref="AL42:AS42">AL35*AL36/1000</f>
        <v>8192359.557634625</v>
      </c>
      <c r="AM42" s="18">
        <f t="shared" si="11"/>
        <v>9564614.08990173</v>
      </c>
      <c r="AN42" s="18">
        <f t="shared" si="11"/>
        <v>10936868.622168837</v>
      </c>
      <c r="AO42" s="18">
        <f t="shared" si="11"/>
        <v>12309123.154435944</v>
      </c>
      <c r="AP42" s="18">
        <f t="shared" si="11"/>
        <v>13681377.68670305</v>
      </c>
      <c r="AQ42" s="18">
        <f t="shared" si="11"/>
        <v>15053632.218970157</v>
      </c>
      <c r="AR42" s="18">
        <f t="shared" si="11"/>
        <v>16425886.751237262</v>
      </c>
      <c r="AS42" s="18">
        <f t="shared" si="11"/>
        <v>17798141.283504367</v>
      </c>
    </row>
    <row r="43" spans="3:45" ht="12.75">
      <c r="C43" s="3" t="str">
        <f>CONCATENATE("Number of Electric Locomotives @ ",E19)</f>
        <v>Number of Electric Locomotives @ 0.027</v>
      </c>
      <c r="D43" s="24">
        <v>12</v>
      </c>
      <c r="E43" s="24">
        <f>E47+D43-E45</f>
        <v>56</v>
      </c>
      <c r="F43" s="24">
        <f aca="true" t="shared" si="12" ref="F43:AK43">ROUNDUP(F19*$E$52/F49,0)</f>
        <v>57</v>
      </c>
      <c r="G43" s="24">
        <f t="shared" si="12"/>
        <v>58</v>
      </c>
      <c r="H43" s="24">
        <f t="shared" si="12"/>
        <v>60</v>
      </c>
      <c r="I43" s="24">
        <f t="shared" si="12"/>
        <v>62</v>
      </c>
      <c r="J43" s="24">
        <f t="shared" si="12"/>
        <v>63</v>
      </c>
      <c r="K43" s="24">
        <f t="shared" si="12"/>
        <v>65</v>
      </c>
      <c r="L43" s="24">
        <f t="shared" si="12"/>
        <v>67</v>
      </c>
      <c r="M43" s="24">
        <f t="shared" si="12"/>
        <v>68</v>
      </c>
      <c r="N43" s="24">
        <f t="shared" si="12"/>
        <v>70</v>
      </c>
      <c r="O43" s="24">
        <f t="shared" si="12"/>
        <v>72</v>
      </c>
      <c r="P43" s="24">
        <f t="shared" si="12"/>
        <v>74</v>
      </c>
      <c r="Q43" s="24">
        <f t="shared" si="12"/>
        <v>76</v>
      </c>
      <c r="R43" s="24">
        <f t="shared" si="12"/>
        <v>78</v>
      </c>
      <c r="S43" s="24">
        <f t="shared" si="12"/>
        <v>80</v>
      </c>
      <c r="T43" s="24">
        <f t="shared" si="12"/>
        <v>82</v>
      </c>
      <c r="U43" s="24">
        <f t="shared" si="12"/>
        <v>85</v>
      </c>
      <c r="V43" s="24">
        <f t="shared" si="12"/>
        <v>87</v>
      </c>
      <c r="W43" s="24">
        <f t="shared" si="12"/>
        <v>89</v>
      </c>
      <c r="X43" s="24">
        <f t="shared" si="12"/>
        <v>92</v>
      </c>
      <c r="Y43" s="24">
        <f t="shared" si="12"/>
        <v>94</v>
      </c>
      <c r="Z43" s="24">
        <f t="shared" si="12"/>
        <v>97</v>
      </c>
      <c r="AA43" s="24">
        <f t="shared" si="12"/>
        <v>99</v>
      </c>
      <c r="AB43" s="24">
        <f t="shared" si="12"/>
        <v>102</v>
      </c>
      <c r="AC43" s="24">
        <f t="shared" si="12"/>
        <v>105</v>
      </c>
      <c r="AD43" s="24">
        <f t="shared" si="12"/>
        <v>107</v>
      </c>
      <c r="AE43" s="24">
        <f t="shared" si="12"/>
        <v>110</v>
      </c>
      <c r="AF43" s="24">
        <f t="shared" si="12"/>
        <v>113</v>
      </c>
      <c r="AG43" s="24">
        <f t="shared" si="12"/>
        <v>116</v>
      </c>
      <c r="AH43" s="24">
        <f t="shared" si="12"/>
        <v>119</v>
      </c>
      <c r="AI43" s="24">
        <f t="shared" si="12"/>
        <v>123</v>
      </c>
      <c r="AJ43" s="24">
        <f t="shared" si="12"/>
        <v>126</v>
      </c>
      <c r="AK43" s="24">
        <f t="shared" si="12"/>
        <v>129</v>
      </c>
      <c r="AL43" s="24">
        <f aca="true" t="shared" si="13" ref="AL43:AS43">ROUNDUP(AL19*$E$52/AL49,0)</f>
        <v>133</v>
      </c>
      <c r="AM43" s="24">
        <f t="shared" si="13"/>
        <v>136</v>
      </c>
      <c r="AN43" s="24">
        <f t="shared" si="13"/>
        <v>140</v>
      </c>
      <c r="AO43" s="24">
        <f t="shared" si="13"/>
        <v>144</v>
      </c>
      <c r="AP43" s="24">
        <f t="shared" si="13"/>
        <v>148</v>
      </c>
      <c r="AQ43" s="24">
        <f t="shared" si="13"/>
        <v>152</v>
      </c>
      <c r="AR43" s="24">
        <f t="shared" si="13"/>
        <v>156</v>
      </c>
      <c r="AS43" s="24">
        <f t="shared" si="13"/>
        <v>160</v>
      </c>
    </row>
    <row r="44" spans="3:45" ht="12.75">
      <c r="C44" s="3" t="str">
        <f>CONCATENATE("Number of Electric Locomotives @ ",E20)</f>
        <v>Number of Electric Locomotives @ 0.08</v>
      </c>
      <c r="D44" s="24">
        <v>12</v>
      </c>
      <c r="E44" s="24">
        <f>E48+D44-E46</f>
        <v>56</v>
      </c>
      <c r="F44" s="24">
        <f aca="true" t="shared" si="14" ref="F44:AK44">ROUNDUP(F20*$E$52/F49,0)</f>
        <v>57</v>
      </c>
      <c r="G44" s="24">
        <f t="shared" si="14"/>
        <v>61</v>
      </c>
      <c r="H44" s="24">
        <f t="shared" si="14"/>
        <v>66</v>
      </c>
      <c r="I44" s="24">
        <f t="shared" si="14"/>
        <v>72</v>
      </c>
      <c r="J44" s="24">
        <f t="shared" si="14"/>
        <v>77</v>
      </c>
      <c r="K44" s="24">
        <f t="shared" si="14"/>
        <v>83</v>
      </c>
      <c r="L44" s="24">
        <f t="shared" si="14"/>
        <v>90</v>
      </c>
      <c r="M44" s="24">
        <f t="shared" si="14"/>
        <v>97</v>
      </c>
      <c r="N44" s="24">
        <f t="shared" si="14"/>
        <v>105</v>
      </c>
      <c r="O44" s="24">
        <f t="shared" si="14"/>
        <v>113</v>
      </c>
      <c r="P44" s="24">
        <f t="shared" si="14"/>
        <v>122</v>
      </c>
      <c r="Q44" s="24">
        <f t="shared" si="14"/>
        <v>132</v>
      </c>
      <c r="R44" s="24">
        <f t="shared" si="14"/>
        <v>143</v>
      </c>
      <c r="S44" s="24">
        <f t="shared" si="14"/>
        <v>154</v>
      </c>
      <c r="T44" s="24">
        <f t="shared" si="14"/>
        <v>166</v>
      </c>
      <c r="U44" s="24">
        <f t="shared" si="14"/>
        <v>179</v>
      </c>
      <c r="V44" s="24">
        <f t="shared" si="14"/>
        <v>194</v>
      </c>
      <c r="W44" s="24">
        <f t="shared" si="14"/>
        <v>209</v>
      </c>
      <c r="X44" s="24">
        <f t="shared" si="14"/>
        <v>226</v>
      </c>
      <c r="Y44" s="24">
        <f t="shared" si="14"/>
        <v>244</v>
      </c>
      <c r="Z44" s="24">
        <f t="shared" si="14"/>
        <v>263</v>
      </c>
      <c r="AA44" s="24">
        <f t="shared" si="14"/>
        <v>284</v>
      </c>
      <c r="AB44" s="24">
        <f t="shared" si="14"/>
        <v>284</v>
      </c>
      <c r="AC44" s="24">
        <f t="shared" si="14"/>
        <v>284</v>
      </c>
      <c r="AD44" s="24">
        <f t="shared" si="14"/>
        <v>284</v>
      </c>
      <c r="AE44" s="24">
        <f t="shared" si="14"/>
        <v>284</v>
      </c>
      <c r="AF44" s="24">
        <f t="shared" si="14"/>
        <v>284</v>
      </c>
      <c r="AG44" s="24">
        <f t="shared" si="14"/>
        <v>284</v>
      </c>
      <c r="AH44" s="24">
        <f t="shared" si="14"/>
        <v>284</v>
      </c>
      <c r="AI44" s="24">
        <f t="shared" si="14"/>
        <v>284</v>
      </c>
      <c r="AJ44" s="24">
        <f t="shared" si="14"/>
        <v>284</v>
      </c>
      <c r="AK44" s="24">
        <f t="shared" si="14"/>
        <v>284</v>
      </c>
      <c r="AL44" s="24">
        <f aca="true" t="shared" si="15" ref="AL44:AS44">ROUNDUP(AL20*$E$52/AL49,0)</f>
        <v>284</v>
      </c>
      <c r="AM44" s="24">
        <f t="shared" si="15"/>
        <v>284</v>
      </c>
      <c r="AN44" s="24">
        <f t="shared" si="15"/>
        <v>284</v>
      </c>
      <c r="AO44" s="24">
        <f t="shared" si="15"/>
        <v>284</v>
      </c>
      <c r="AP44" s="24">
        <f t="shared" si="15"/>
        <v>284</v>
      </c>
      <c r="AQ44" s="24">
        <f t="shared" si="15"/>
        <v>284</v>
      </c>
      <c r="AR44" s="24">
        <f t="shared" si="15"/>
        <v>284</v>
      </c>
      <c r="AS44" s="24">
        <f t="shared" si="15"/>
        <v>284</v>
      </c>
    </row>
    <row r="45" spans="3:45" ht="12.75">
      <c r="C45" s="3" t="str">
        <f>CONCATENATE("Retirements @",E19)</f>
        <v>Retirements @0.027</v>
      </c>
      <c r="D45" s="15"/>
      <c r="E45" s="37">
        <v>0</v>
      </c>
      <c r="F45" s="37"/>
      <c r="G45" s="37"/>
      <c r="H45" s="37"/>
      <c r="I45" s="37"/>
      <c r="J45" s="37"/>
      <c r="K45" s="37"/>
      <c r="L45" s="37"/>
      <c r="M45" s="37"/>
      <c r="N45" s="37"/>
      <c r="O45" s="37">
        <v>12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3:45" ht="12.75">
      <c r="C46" s="3" t="str">
        <f>CONCATENATE("Retirements @",E20)</f>
        <v>Retirements @0.08</v>
      </c>
      <c r="D46" s="15"/>
      <c r="E46" s="37">
        <v>0</v>
      </c>
      <c r="F46" s="37"/>
      <c r="G46" s="37"/>
      <c r="H46" s="37"/>
      <c r="I46" s="37"/>
      <c r="J46" s="37"/>
      <c r="K46" s="37"/>
      <c r="L46" s="37"/>
      <c r="M46" s="37"/>
      <c r="N46" s="37"/>
      <c r="O46" s="37">
        <v>12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</row>
    <row r="47" spans="3:45" ht="12.75">
      <c r="C47" s="3" t="str">
        <f>CONCATENATE("Additions @ ",E19)</f>
        <v>Additions @ 0.027</v>
      </c>
      <c r="D47" s="15"/>
      <c r="E47" s="17">
        <v>44</v>
      </c>
      <c r="F47" s="23">
        <f>F43-E43+F45</f>
        <v>1</v>
      </c>
      <c r="G47" s="23">
        <f aca="true" t="shared" si="16" ref="G47:AK48">G43-F43+G45</f>
        <v>1</v>
      </c>
      <c r="H47" s="23">
        <f t="shared" si="16"/>
        <v>2</v>
      </c>
      <c r="I47" s="23">
        <f t="shared" si="16"/>
        <v>2</v>
      </c>
      <c r="J47" s="23">
        <f t="shared" si="16"/>
        <v>1</v>
      </c>
      <c r="K47" s="23">
        <f t="shared" si="16"/>
        <v>2</v>
      </c>
      <c r="L47" s="23">
        <f t="shared" si="16"/>
        <v>2</v>
      </c>
      <c r="M47" s="23">
        <f t="shared" si="16"/>
        <v>1</v>
      </c>
      <c r="N47" s="23">
        <f t="shared" si="16"/>
        <v>2</v>
      </c>
      <c r="O47" s="23">
        <f t="shared" si="16"/>
        <v>14</v>
      </c>
      <c r="P47" s="23">
        <f t="shared" si="16"/>
        <v>2</v>
      </c>
      <c r="Q47" s="23">
        <f t="shared" si="16"/>
        <v>2</v>
      </c>
      <c r="R47" s="23">
        <f t="shared" si="16"/>
        <v>2</v>
      </c>
      <c r="S47" s="23">
        <f t="shared" si="16"/>
        <v>2</v>
      </c>
      <c r="T47" s="23">
        <f t="shared" si="16"/>
        <v>2</v>
      </c>
      <c r="U47" s="23">
        <f t="shared" si="16"/>
        <v>3</v>
      </c>
      <c r="V47" s="23">
        <f t="shared" si="16"/>
        <v>2</v>
      </c>
      <c r="W47" s="23">
        <f t="shared" si="16"/>
        <v>2</v>
      </c>
      <c r="X47" s="23">
        <f t="shared" si="16"/>
        <v>3</v>
      </c>
      <c r="Y47" s="23">
        <f t="shared" si="16"/>
        <v>2</v>
      </c>
      <c r="Z47" s="23">
        <f t="shared" si="16"/>
        <v>3</v>
      </c>
      <c r="AA47" s="23">
        <f t="shared" si="16"/>
        <v>2</v>
      </c>
      <c r="AB47" s="23">
        <f t="shared" si="16"/>
        <v>3</v>
      </c>
      <c r="AC47" s="23">
        <f t="shared" si="16"/>
        <v>3</v>
      </c>
      <c r="AD47" s="23">
        <f t="shared" si="16"/>
        <v>2</v>
      </c>
      <c r="AE47" s="23">
        <f t="shared" si="16"/>
        <v>3</v>
      </c>
      <c r="AF47" s="23">
        <f t="shared" si="16"/>
        <v>3</v>
      </c>
      <c r="AG47" s="23">
        <f t="shared" si="16"/>
        <v>3</v>
      </c>
      <c r="AH47" s="23">
        <f t="shared" si="16"/>
        <v>3</v>
      </c>
      <c r="AI47" s="23">
        <f t="shared" si="16"/>
        <v>4</v>
      </c>
      <c r="AJ47" s="23">
        <f t="shared" si="16"/>
        <v>3</v>
      </c>
      <c r="AK47" s="23">
        <f t="shared" si="16"/>
        <v>3</v>
      </c>
      <c r="AL47" s="23">
        <f>AL43-AK43+AL45</f>
        <v>4</v>
      </c>
      <c r="AM47" s="23">
        <f>AM43-AL43+AM45</f>
        <v>3</v>
      </c>
      <c r="AN47" s="23">
        <f>AN43-AM43+AN45</f>
        <v>4</v>
      </c>
      <c r="AO47" s="23">
        <f>AO43-AN43+AO45</f>
        <v>4</v>
      </c>
      <c r="AP47" s="23">
        <f>AP43-AO43+AP45</f>
        <v>4</v>
      </c>
      <c r="AQ47" s="23">
        <f>AQ43-AP43+AQ45</f>
        <v>4</v>
      </c>
      <c r="AR47" s="23">
        <f>AR43-AQ43+AR45</f>
        <v>4</v>
      </c>
      <c r="AS47" s="23">
        <f>AS43-AR43+AS45</f>
        <v>4</v>
      </c>
    </row>
    <row r="48" spans="3:45" ht="12.75">
      <c r="C48" s="3" t="str">
        <f>CONCATENATE("Additions @ ",E20)</f>
        <v>Additions @ 0.08</v>
      </c>
      <c r="D48" s="15"/>
      <c r="E48" s="17">
        <v>44</v>
      </c>
      <c r="F48" s="23">
        <f>F44-E44+F46</f>
        <v>1</v>
      </c>
      <c r="G48" s="23">
        <f t="shared" si="16"/>
        <v>4</v>
      </c>
      <c r="H48" s="23">
        <f t="shared" si="16"/>
        <v>5</v>
      </c>
      <c r="I48" s="23">
        <f t="shared" si="16"/>
        <v>6</v>
      </c>
      <c r="J48" s="23">
        <f t="shared" si="16"/>
        <v>5</v>
      </c>
      <c r="K48" s="23">
        <f t="shared" si="16"/>
        <v>6</v>
      </c>
      <c r="L48" s="23">
        <f t="shared" si="16"/>
        <v>7</v>
      </c>
      <c r="M48" s="23">
        <f t="shared" si="16"/>
        <v>7</v>
      </c>
      <c r="N48" s="23">
        <f t="shared" si="16"/>
        <v>8</v>
      </c>
      <c r="O48" s="23">
        <f t="shared" si="16"/>
        <v>20</v>
      </c>
      <c r="P48" s="23">
        <f t="shared" si="16"/>
        <v>9</v>
      </c>
      <c r="Q48" s="23">
        <f t="shared" si="16"/>
        <v>10</v>
      </c>
      <c r="R48" s="23">
        <f t="shared" si="16"/>
        <v>11</v>
      </c>
      <c r="S48" s="23">
        <f t="shared" si="16"/>
        <v>11</v>
      </c>
      <c r="T48" s="23">
        <f t="shared" si="16"/>
        <v>12</v>
      </c>
      <c r="U48" s="23">
        <f t="shared" si="16"/>
        <v>13</v>
      </c>
      <c r="V48" s="23">
        <f t="shared" si="16"/>
        <v>15</v>
      </c>
      <c r="W48" s="23">
        <f t="shared" si="16"/>
        <v>15</v>
      </c>
      <c r="X48" s="23">
        <f t="shared" si="16"/>
        <v>17</v>
      </c>
      <c r="Y48" s="23">
        <f t="shared" si="16"/>
        <v>18</v>
      </c>
      <c r="Z48" s="23">
        <f t="shared" si="16"/>
        <v>19</v>
      </c>
      <c r="AA48" s="23">
        <f t="shared" si="16"/>
        <v>21</v>
      </c>
      <c r="AB48" s="23">
        <f t="shared" si="16"/>
        <v>0</v>
      </c>
      <c r="AC48" s="23">
        <f t="shared" si="16"/>
        <v>0</v>
      </c>
      <c r="AD48" s="23">
        <f t="shared" si="16"/>
        <v>0</v>
      </c>
      <c r="AE48" s="23">
        <f t="shared" si="16"/>
        <v>0</v>
      </c>
      <c r="AF48" s="23">
        <f t="shared" si="16"/>
        <v>0</v>
      </c>
      <c r="AG48" s="23">
        <f t="shared" si="16"/>
        <v>0</v>
      </c>
      <c r="AH48" s="23">
        <f t="shared" si="16"/>
        <v>0</v>
      </c>
      <c r="AI48" s="23">
        <f t="shared" si="16"/>
        <v>0</v>
      </c>
      <c r="AJ48" s="23">
        <f t="shared" si="16"/>
        <v>0</v>
      </c>
      <c r="AK48" s="23">
        <f t="shared" si="16"/>
        <v>0</v>
      </c>
      <c r="AL48" s="23">
        <f>AL44-AK44+AL46</f>
        <v>0</v>
      </c>
      <c r="AM48" s="23">
        <f>AM44-AL44+AM46</f>
        <v>0</v>
      </c>
      <c r="AN48" s="23">
        <f>AN44-AM44+AN46</f>
        <v>0</v>
      </c>
      <c r="AO48" s="23">
        <f>AO44-AN44+AO46</f>
        <v>0</v>
      </c>
      <c r="AP48" s="23">
        <f>AP44-AO44+AP46</f>
        <v>0</v>
      </c>
      <c r="AQ48" s="23">
        <f>AQ44-AP44+AQ46</f>
        <v>0</v>
      </c>
      <c r="AR48" s="23">
        <f>AR44-AQ44+AR46</f>
        <v>0</v>
      </c>
      <c r="AS48" s="23">
        <f>AS44-AR44+AS46</f>
        <v>0</v>
      </c>
    </row>
    <row r="49" spans="3:45" ht="12.75">
      <c r="C49" s="3" t="s">
        <v>16</v>
      </c>
      <c r="D49" s="24">
        <v>5200</v>
      </c>
      <c r="E49" s="33">
        <v>5200</v>
      </c>
      <c r="F49" s="24">
        <f>E49</f>
        <v>5200</v>
      </c>
      <c r="G49" s="24">
        <f aca="true" t="shared" si="17" ref="G49:AK49">F49</f>
        <v>5200</v>
      </c>
      <c r="H49" s="24">
        <f t="shared" si="17"/>
        <v>5200</v>
      </c>
      <c r="I49" s="24">
        <f t="shared" si="17"/>
        <v>5200</v>
      </c>
      <c r="J49" s="24">
        <f t="shared" si="17"/>
        <v>5200</v>
      </c>
      <c r="K49" s="24">
        <f t="shared" si="17"/>
        <v>5200</v>
      </c>
      <c r="L49" s="24">
        <f t="shared" si="17"/>
        <v>5200</v>
      </c>
      <c r="M49" s="24">
        <f t="shared" si="17"/>
        <v>5200</v>
      </c>
      <c r="N49" s="24">
        <f t="shared" si="17"/>
        <v>5200</v>
      </c>
      <c r="O49" s="24">
        <f t="shared" si="17"/>
        <v>5200</v>
      </c>
      <c r="P49" s="24">
        <f t="shared" si="17"/>
        <v>5200</v>
      </c>
      <c r="Q49" s="24">
        <f t="shared" si="17"/>
        <v>5200</v>
      </c>
      <c r="R49" s="24">
        <f t="shared" si="17"/>
        <v>5200</v>
      </c>
      <c r="S49" s="24">
        <f t="shared" si="17"/>
        <v>5200</v>
      </c>
      <c r="T49" s="24">
        <f t="shared" si="17"/>
        <v>5200</v>
      </c>
      <c r="U49" s="24">
        <f t="shared" si="17"/>
        <v>5200</v>
      </c>
      <c r="V49" s="24">
        <f t="shared" si="17"/>
        <v>5200</v>
      </c>
      <c r="W49" s="24">
        <f t="shared" si="17"/>
        <v>5200</v>
      </c>
      <c r="X49" s="24">
        <f t="shared" si="17"/>
        <v>5200</v>
      </c>
      <c r="Y49" s="24">
        <f t="shared" si="17"/>
        <v>5200</v>
      </c>
      <c r="Z49" s="24">
        <f t="shared" si="17"/>
        <v>5200</v>
      </c>
      <c r="AA49" s="24">
        <f t="shared" si="17"/>
        <v>5200</v>
      </c>
      <c r="AB49" s="24">
        <f t="shared" si="17"/>
        <v>5200</v>
      </c>
      <c r="AC49" s="24">
        <f t="shared" si="17"/>
        <v>5200</v>
      </c>
      <c r="AD49" s="24">
        <f t="shared" si="17"/>
        <v>5200</v>
      </c>
      <c r="AE49" s="24">
        <f t="shared" si="17"/>
        <v>5200</v>
      </c>
      <c r="AF49" s="24">
        <f t="shared" si="17"/>
        <v>5200</v>
      </c>
      <c r="AG49" s="24">
        <f t="shared" si="17"/>
        <v>5200</v>
      </c>
      <c r="AH49" s="24">
        <f t="shared" si="17"/>
        <v>5200</v>
      </c>
      <c r="AI49" s="24">
        <f t="shared" si="17"/>
        <v>5200</v>
      </c>
      <c r="AJ49" s="24">
        <f t="shared" si="17"/>
        <v>5200</v>
      </c>
      <c r="AK49" s="24">
        <f t="shared" si="17"/>
        <v>5200</v>
      </c>
      <c r="AL49" s="24">
        <f>AK49</f>
        <v>5200</v>
      </c>
      <c r="AM49" s="24">
        <f>AL49</f>
        <v>5200</v>
      </c>
      <c r="AN49" s="24">
        <f>AM49</f>
        <v>5200</v>
      </c>
      <c r="AO49" s="24">
        <f>AN49</f>
        <v>5200</v>
      </c>
      <c r="AP49" s="24">
        <f>AO49</f>
        <v>5200</v>
      </c>
      <c r="AQ49" s="24">
        <f>AP49</f>
        <v>5200</v>
      </c>
      <c r="AR49" s="24">
        <f>AQ49</f>
        <v>5200</v>
      </c>
      <c r="AS49" s="24">
        <f>AR49</f>
        <v>5200</v>
      </c>
    </row>
    <row r="50" spans="3:45" ht="12.75">
      <c r="C50" s="3" t="s">
        <v>17</v>
      </c>
      <c r="D50" s="19">
        <v>468000</v>
      </c>
      <c r="E50" s="34">
        <v>468000</v>
      </c>
      <c r="F50" s="18">
        <f>$E$50*F24</f>
        <v>468000</v>
      </c>
      <c r="G50" s="18">
        <f aca="true" t="shared" si="18" ref="G50:AK50">$E$50*G24</f>
        <v>491400</v>
      </c>
      <c r="H50" s="18">
        <f t="shared" si="18"/>
        <v>515970</v>
      </c>
      <c r="I50" s="18">
        <f t="shared" si="18"/>
        <v>541768.5000000001</v>
      </c>
      <c r="J50" s="18">
        <f t="shared" si="18"/>
        <v>568856.9250000002</v>
      </c>
      <c r="K50" s="18">
        <f t="shared" si="18"/>
        <v>597299.7712500002</v>
      </c>
      <c r="L50" s="18">
        <f t="shared" si="18"/>
        <v>627164.7598125002</v>
      </c>
      <c r="M50" s="18">
        <f t="shared" si="18"/>
        <v>658522.9978031252</v>
      </c>
      <c r="N50" s="18">
        <f t="shared" si="18"/>
        <v>691449.1476932815</v>
      </c>
      <c r="O50" s="18">
        <f t="shared" si="18"/>
        <v>726021.6050779456</v>
      </c>
      <c r="P50" s="18">
        <f t="shared" si="18"/>
        <v>762322.6853318429</v>
      </c>
      <c r="Q50" s="18">
        <f t="shared" si="18"/>
        <v>800438.8195984351</v>
      </c>
      <c r="R50" s="18">
        <f t="shared" si="18"/>
        <v>840460.7605783568</v>
      </c>
      <c r="S50" s="18">
        <f t="shared" si="18"/>
        <v>882483.7986072747</v>
      </c>
      <c r="T50" s="18">
        <f t="shared" si="18"/>
        <v>926607.9885376383</v>
      </c>
      <c r="U50" s="18">
        <f t="shared" si="18"/>
        <v>972938.3879645204</v>
      </c>
      <c r="V50" s="18">
        <f t="shared" si="18"/>
        <v>1021585.3073627464</v>
      </c>
      <c r="W50" s="18">
        <f t="shared" si="18"/>
        <v>1072664.5727308837</v>
      </c>
      <c r="X50" s="18">
        <f t="shared" si="18"/>
        <v>1126297.801367428</v>
      </c>
      <c r="Y50" s="18">
        <f t="shared" si="18"/>
        <v>1182612.6914357992</v>
      </c>
      <c r="Z50" s="18">
        <f t="shared" si="18"/>
        <v>1241743.3260075892</v>
      </c>
      <c r="AA50" s="18">
        <f t="shared" si="18"/>
        <v>1303830.4923079687</v>
      </c>
      <c r="AB50" s="18">
        <f t="shared" si="18"/>
        <v>1369022.0169233668</v>
      </c>
      <c r="AC50" s="18">
        <f t="shared" si="18"/>
        <v>1437473.1177695354</v>
      </c>
      <c r="AD50" s="18">
        <f t="shared" si="18"/>
        <v>1509346.773658012</v>
      </c>
      <c r="AE50" s="18">
        <f t="shared" si="18"/>
        <v>1584814.1123409127</v>
      </c>
      <c r="AF50" s="18">
        <f t="shared" si="18"/>
        <v>1664054.8179579584</v>
      </c>
      <c r="AG50" s="18">
        <f t="shared" si="18"/>
        <v>1747257.5588558563</v>
      </c>
      <c r="AH50" s="18">
        <f t="shared" si="18"/>
        <v>1834620.4367986491</v>
      </c>
      <c r="AI50" s="18">
        <f t="shared" si="18"/>
        <v>1926351.4586385817</v>
      </c>
      <c r="AJ50" s="18">
        <f t="shared" si="18"/>
        <v>2022669.031570511</v>
      </c>
      <c r="AK50" s="18">
        <f t="shared" si="18"/>
        <v>2123802.4831490363</v>
      </c>
      <c r="AL50" s="18">
        <f aca="true" t="shared" si="19" ref="AL50:AS50">$E$50*AL24</f>
        <v>2229992.607306488</v>
      </c>
      <c r="AM50" s="18">
        <f t="shared" si="19"/>
        <v>2341492.2376718125</v>
      </c>
      <c r="AN50" s="18">
        <f t="shared" si="19"/>
        <v>2458566.849555403</v>
      </c>
      <c r="AO50" s="18">
        <f t="shared" si="19"/>
        <v>2581495.192033173</v>
      </c>
      <c r="AP50" s="18">
        <f t="shared" si="19"/>
        <v>2710569.9516348317</v>
      </c>
      <c r="AQ50" s="18">
        <f t="shared" si="19"/>
        <v>2846098.4492165735</v>
      </c>
      <c r="AR50" s="18">
        <f t="shared" si="19"/>
        <v>2988403.371677402</v>
      </c>
      <c r="AS50" s="18">
        <f t="shared" si="19"/>
        <v>3137823.540261272</v>
      </c>
    </row>
    <row r="51" spans="3:45" ht="12.75">
      <c r="C51" s="3" t="s">
        <v>18</v>
      </c>
      <c r="D51" s="24">
        <v>90</v>
      </c>
      <c r="E51" s="35">
        <v>90</v>
      </c>
      <c r="F51" s="18">
        <f>F50/F49</f>
        <v>90</v>
      </c>
      <c r="G51" s="18">
        <f aca="true" t="shared" si="20" ref="G51:AK51">G50/G49</f>
        <v>94.5</v>
      </c>
      <c r="H51" s="18">
        <f t="shared" si="20"/>
        <v>99.225</v>
      </c>
      <c r="I51" s="18">
        <f t="shared" si="20"/>
        <v>104.18625000000002</v>
      </c>
      <c r="J51" s="18">
        <f t="shared" si="20"/>
        <v>109.39556250000003</v>
      </c>
      <c r="K51" s="18">
        <f t="shared" si="20"/>
        <v>114.86534062500004</v>
      </c>
      <c r="L51" s="18">
        <f t="shared" si="20"/>
        <v>120.60860765625004</v>
      </c>
      <c r="M51" s="18">
        <f t="shared" si="20"/>
        <v>126.63903803906254</v>
      </c>
      <c r="N51" s="18">
        <f t="shared" si="20"/>
        <v>132.9709899410157</v>
      </c>
      <c r="O51" s="18">
        <f t="shared" si="20"/>
        <v>139.61953943806645</v>
      </c>
      <c r="P51" s="18">
        <f t="shared" si="20"/>
        <v>146.60051640996977</v>
      </c>
      <c r="Q51" s="18">
        <f t="shared" si="20"/>
        <v>153.9305422304683</v>
      </c>
      <c r="R51" s="18">
        <f t="shared" si="20"/>
        <v>161.6270693419917</v>
      </c>
      <c r="S51" s="18">
        <f t="shared" si="20"/>
        <v>169.70842280909127</v>
      </c>
      <c r="T51" s="18">
        <f t="shared" si="20"/>
        <v>178.19384394954582</v>
      </c>
      <c r="U51" s="18">
        <f t="shared" si="20"/>
        <v>187.10353614702314</v>
      </c>
      <c r="V51" s="18">
        <f t="shared" si="20"/>
        <v>196.4587129543743</v>
      </c>
      <c r="W51" s="18">
        <f t="shared" si="20"/>
        <v>206.28164860209301</v>
      </c>
      <c r="X51" s="18">
        <f t="shared" si="20"/>
        <v>216.59573103219768</v>
      </c>
      <c r="Y51" s="18">
        <f t="shared" si="20"/>
        <v>227.42551758380753</v>
      </c>
      <c r="Z51" s="18">
        <f t="shared" si="20"/>
        <v>238.79679346299793</v>
      </c>
      <c r="AA51" s="18">
        <f t="shared" si="20"/>
        <v>250.73663313614782</v>
      </c>
      <c r="AB51" s="18">
        <f t="shared" si="20"/>
        <v>263.27346479295517</v>
      </c>
      <c r="AC51" s="18">
        <f t="shared" si="20"/>
        <v>276.43713803260295</v>
      </c>
      <c r="AD51" s="18">
        <f t="shared" si="20"/>
        <v>290.2589949342331</v>
      </c>
      <c r="AE51" s="18">
        <f t="shared" si="20"/>
        <v>304.7719446809447</v>
      </c>
      <c r="AF51" s="18">
        <f t="shared" si="20"/>
        <v>320.010541914992</v>
      </c>
      <c r="AG51" s="18">
        <f t="shared" si="20"/>
        <v>336.0110690107416</v>
      </c>
      <c r="AH51" s="18">
        <f t="shared" si="20"/>
        <v>352.81162246127866</v>
      </c>
      <c r="AI51" s="18">
        <f t="shared" si="20"/>
        <v>370.4522035843426</v>
      </c>
      <c r="AJ51" s="18">
        <f t="shared" si="20"/>
        <v>388.9748137635598</v>
      </c>
      <c r="AK51" s="18">
        <f t="shared" si="20"/>
        <v>408.42355445173774</v>
      </c>
      <c r="AL51" s="18">
        <f aca="true" t="shared" si="21" ref="AL51:AS51">AL50/AL49</f>
        <v>428.8447321743246</v>
      </c>
      <c r="AM51" s="18">
        <f t="shared" si="21"/>
        <v>450.2869687830409</v>
      </c>
      <c r="AN51" s="18">
        <f t="shared" si="21"/>
        <v>472.8013172221929</v>
      </c>
      <c r="AO51" s="18">
        <f t="shared" si="21"/>
        <v>496.4413830833025</v>
      </c>
      <c r="AP51" s="18">
        <f t="shared" si="21"/>
        <v>521.2634522374676</v>
      </c>
      <c r="AQ51" s="18">
        <f t="shared" si="21"/>
        <v>547.3266248493411</v>
      </c>
      <c r="AR51" s="18">
        <f t="shared" si="21"/>
        <v>574.692956091808</v>
      </c>
      <c r="AS51" s="18">
        <f t="shared" si="21"/>
        <v>603.4276038963984</v>
      </c>
    </row>
    <row r="52" spans="3:45" ht="12.75">
      <c r="C52" s="7" t="s">
        <v>95</v>
      </c>
      <c r="D52" s="24">
        <v>0.04</v>
      </c>
      <c r="E52" s="35">
        <v>0.04</v>
      </c>
      <c r="F52" s="24">
        <v>0.04</v>
      </c>
      <c r="G52" s="24">
        <v>0.04</v>
      </c>
      <c r="H52" s="24">
        <v>0.04</v>
      </c>
      <c r="I52" s="24">
        <v>0.04</v>
      </c>
      <c r="J52" s="24">
        <v>0.04</v>
      </c>
      <c r="K52" s="24">
        <v>0.04</v>
      </c>
      <c r="L52" s="24">
        <v>0.04</v>
      </c>
      <c r="M52" s="24">
        <v>0.04</v>
      </c>
      <c r="N52" s="24">
        <v>0.04</v>
      </c>
      <c r="O52" s="24">
        <v>0.04</v>
      </c>
      <c r="P52" s="24">
        <v>0.04</v>
      </c>
      <c r="Q52" s="24">
        <v>0.04</v>
      </c>
      <c r="R52" s="24">
        <v>0.04</v>
      </c>
      <c r="S52" s="24">
        <v>0.04</v>
      </c>
      <c r="T52" s="24">
        <v>0.04</v>
      </c>
      <c r="U52" s="24">
        <v>0.04</v>
      </c>
      <c r="V52" s="24">
        <v>0.04</v>
      </c>
      <c r="W52" s="24">
        <v>0.04</v>
      </c>
      <c r="X52" s="24">
        <v>0.04</v>
      </c>
      <c r="Y52" s="24">
        <v>0.04</v>
      </c>
      <c r="Z52" s="24">
        <v>0.04</v>
      </c>
      <c r="AA52" s="24">
        <v>0.04</v>
      </c>
      <c r="AB52" s="24">
        <v>0.04</v>
      </c>
      <c r="AC52" s="24">
        <v>0.04</v>
      </c>
      <c r="AD52" s="24">
        <v>0.04</v>
      </c>
      <c r="AE52" s="24">
        <v>0.04</v>
      </c>
      <c r="AF52" s="24">
        <v>0.04</v>
      </c>
      <c r="AG52" s="24">
        <v>0.04</v>
      </c>
      <c r="AH52" s="24">
        <v>0.04</v>
      </c>
      <c r="AI52" s="24">
        <v>0.04</v>
      </c>
      <c r="AJ52" s="24">
        <v>0.04</v>
      </c>
      <c r="AK52" s="24">
        <v>0.04</v>
      </c>
      <c r="AL52" s="24">
        <v>1.04</v>
      </c>
      <c r="AM52" s="24">
        <v>2.04</v>
      </c>
      <c r="AN52" s="24">
        <v>3.04</v>
      </c>
      <c r="AO52" s="24">
        <v>4.04</v>
      </c>
      <c r="AP52" s="24">
        <v>5.04</v>
      </c>
      <c r="AQ52" s="24">
        <v>6.04</v>
      </c>
      <c r="AR52" s="24">
        <v>7.04</v>
      </c>
      <c r="AS52" s="24">
        <v>8.04</v>
      </c>
    </row>
    <row r="53" spans="3:45" ht="12.75">
      <c r="C53" s="3" t="str">
        <f>CONCATENATE("Total Electric Horsepower @ ",E19)</f>
        <v>Total Electric Horsepower @ 0.027</v>
      </c>
      <c r="D53" s="19">
        <v>254800</v>
      </c>
      <c r="E53" s="36">
        <f>E43*$E$49</f>
        <v>291200</v>
      </c>
      <c r="F53" s="19">
        <f aca="true" t="shared" si="22" ref="F53:AK54">F43*$E$49</f>
        <v>296400</v>
      </c>
      <c r="G53" s="19">
        <f t="shared" si="22"/>
        <v>301600</v>
      </c>
      <c r="H53" s="19">
        <f t="shared" si="22"/>
        <v>312000</v>
      </c>
      <c r="I53" s="19">
        <f t="shared" si="22"/>
        <v>322400</v>
      </c>
      <c r="J53" s="19">
        <f t="shared" si="22"/>
        <v>327600</v>
      </c>
      <c r="K53" s="19">
        <f t="shared" si="22"/>
        <v>338000</v>
      </c>
      <c r="L53" s="19">
        <f t="shared" si="22"/>
        <v>348400</v>
      </c>
      <c r="M53" s="19">
        <f t="shared" si="22"/>
        <v>353600</v>
      </c>
      <c r="N53" s="19">
        <f t="shared" si="22"/>
        <v>364000</v>
      </c>
      <c r="O53" s="19">
        <f t="shared" si="22"/>
        <v>374400</v>
      </c>
      <c r="P53" s="19">
        <f t="shared" si="22"/>
        <v>384800</v>
      </c>
      <c r="Q53" s="19">
        <f t="shared" si="22"/>
        <v>395200</v>
      </c>
      <c r="R53" s="19">
        <f t="shared" si="22"/>
        <v>405600</v>
      </c>
      <c r="S53" s="19">
        <f t="shared" si="22"/>
        <v>416000</v>
      </c>
      <c r="T53" s="19">
        <f t="shared" si="22"/>
        <v>426400</v>
      </c>
      <c r="U53" s="19">
        <f t="shared" si="22"/>
        <v>442000</v>
      </c>
      <c r="V53" s="19">
        <f t="shared" si="22"/>
        <v>452400</v>
      </c>
      <c r="W53" s="19">
        <f t="shared" si="22"/>
        <v>462800</v>
      </c>
      <c r="X53" s="19">
        <f t="shared" si="22"/>
        <v>478400</v>
      </c>
      <c r="Y53" s="19">
        <f t="shared" si="22"/>
        <v>488800</v>
      </c>
      <c r="Z53" s="19">
        <f t="shared" si="22"/>
        <v>504400</v>
      </c>
      <c r="AA53" s="19">
        <f t="shared" si="22"/>
        <v>514800</v>
      </c>
      <c r="AB53" s="19">
        <f t="shared" si="22"/>
        <v>530400</v>
      </c>
      <c r="AC53" s="19">
        <f t="shared" si="22"/>
        <v>546000</v>
      </c>
      <c r="AD53" s="19">
        <f t="shared" si="22"/>
        <v>556400</v>
      </c>
      <c r="AE53" s="19">
        <f t="shared" si="22"/>
        <v>572000</v>
      </c>
      <c r="AF53" s="19">
        <f t="shared" si="22"/>
        <v>587600</v>
      </c>
      <c r="AG53" s="19">
        <f t="shared" si="22"/>
        <v>603200</v>
      </c>
      <c r="AH53" s="19">
        <f t="shared" si="22"/>
        <v>618800</v>
      </c>
      <c r="AI53" s="19">
        <f t="shared" si="22"/>
        <v>639600</v>
      </c>
      <c r="AJ53" s="19">
        <f t="shared" si="22"/>
        <v>655200</v>
      </c>
      <c r="AK53" s="19">
        <f t="shared" si="22"/>
        <v>670800</v>
      </c>
      <c r="AL53" s="19">
        <f aca="true" t="shared" si="23" ref="AL53:AS53">AL43*$E$49</f>
        <v>691600</v>
      </c>
      <c r="AM53" s="19">
        <f t="shared" si="23"/>
        <v>707200</v>
      </c>
      <c r="AN53" s="19">
        <f t="shared" si="23"/>
        <v>728000</v>
      </c>
      <c r="AO53" s="19">
        <f t="shared" si="23"/>
        <v>748800</v>
      </c>
      <c r="AP53" s="19">
        <f t="shared" si="23"/>
        <v>769600</v>
      </c>
      <c r="AQ53" s="19">
        <f t="shared" si="23"/>
        <v>790400</v>
      </c>
      <c r="AR53" s="19">
        <f t="shared" si="23"/>
        <v>811200</v>
      </c>
      <c r="AS53" s="19">
        <f t="shared" si="23"/>
        <v>832000</v>
      </c>
    </row>
    <row r="54" spans="3:45" ht="12.75">
      <c r="C54" s="3" t="str">
        <f>CONCATENATE("Total Electric Horsepower @ ",E20)</f>
        <v>Total Electric Horsepower @ 0.08</v>
      </c>
      <c r="D54" s="19">
        <v>254800</v>
      </c>
      <c r="E54" s="36">
        <f>E44*$E$49</f>
        <v>291200</v>
      </c>
      <c r="F54" s="19">
        <f t="shared" si="22"/>
        <v>296400</v>
      </c>
      <c r="G54" s="19">
        <f t="shared" si="22"/>
        <v>317200</v>
      </c>
      <c r="H54" s="19">
        <f t="shared" si="22"/>
        <v>343200</v>
      </c>
      <c r="I54" s="19">
        <f t="shared" si="22"/>
        <v>374400</v>
      </c>
      <c r="J54" s="19">
        <f t="shared" si="22"/>
        <v>400400</v>
      </c>
      <c r="K54" s="19">
        <f t="shared" si="22"/>
        <v>431600</v>
      </c>
      <c r="L54" s="19">
        <f t="shared" si="22"/>
        <v>468000</v>
      </c>
      <c r="M54" s="19">
        <f t="shared" si="22"/>
        <v>504400</v>
      </c>
      <c r="N54" s="19">
        <f t="shared" si="22"/>
        <v>546000</v>
      </c>
      <c r="O54" s="19">
        <f t="shared" si="22"/>
        <v>587600</v>
      </c>
      <c r="P54" s="19">
        <f t="shared" si="22"/>
        <v>634400</v>
      </c>
      <c r="Q54" s="19">
        <f t="shared" si="22"/>
        <v>686400</v>
      </c>
      <c r="R54" s="19">
        <f t="shared" si="22"/>
        <v>743600</v>
      </c>
      <c r="S54" s="19">
        <f t="shared" si="22"/>
        <v>800800</v>
      </c>
      <c r="T54" s="19">
        <f t="shared" si="22"/>
        <v>863200</v>
      </c>
      <c r="U54" s="19">
        <f t="shared" si="22"/>
        <v>930800</v>
      </c>
      <c r="V54" s="19">
        <f t="shared" si="22"/>
        <v>1008800</v>
      </c>
      <c r="W54" s="19">
        <f t="shared" si="22"/>
        <v>1086800</v>
      </c>
      <c r="X54" s="19">
        <f t="shared" si="22"/>
        <v>1175200</v>
      </c>
      <c r="Y54" s="19">
        <f t="shared" si="22"/>
        <v>1268800</v>
      </c>
      <c r="Z54" s="19">
        <f t="shared" si="22"/>
        <v>1367600</v>
      </c>
      <c r="AA54" s="19">
        <f t="shared" si="22"/>
        <v>1476800</v>
      </c>
      <c r="AB54" s="19">
        <f t="shared" si="22"/>
        <v>1476800</v>
      </c>
      <c r="AC54" s="19">
        <f t="shared" si="22"/>
        <v>1476800</v>
      </c>
      <c r="AD54" s="19">
        <f t="shared" si="22"/>
        <v>1476800</v>
      </c>
      <c r="AE54" s="19">
        <f t="shared" si="22"/>
        <v>1476800</v>
      </c>
      <c r="AF54" s="19">
        <f t="shared" si="22"/>
        <v>1476800</v>
      </c>
      <c r="AG54" s="19">
        <f t="shared" si="22"/>
        <v>1476800</v>
      </c>
      <c r="AH54" s="19">
        <f t="shared" si="22"/>
        <v>1476800</v>
      </c>
      <c r="AI54" s="19">
        <f t="shared" si="22"/>
        <v>1476800</v>
      </c>
      <c r="AJ54" s="19">
        <f t="shared" si="22"/>
        <v>1476800</v>
      </c>
      <c r="AK54" s="19">
        <f t="shared" si="22"/>
        <v>1476800</v>
      </c>
      <c r="AL54" s="19">
        <f aca="true" t="shared" si="24" ref="AL54:AS54">AL44*$E$49</f>
        <v>1476800</v>
      </c>
      <c r="AM54" s="19">
        <f t="shared" si="24"/>
        <v>1476800</v>
      </c>
      <c r="AN54" s="19">
        <f t="shared" si="24"/>
        <v>1476800</v>
      </c>
      <c r="AO54" s="19">
        <f t="shared" si="24"/>
        <v>1476800</v>
      </c>
      <c r="AP54" s="19">
        <f t="shared" si="24"/>
        <v>1476800</v>
      </c>
      <c r="AQ54" s="19">
        <f t="shared" si="24"/>
        <v>1476800</v>
      </c>
      <c r="AR54" s="19">
        <f t="shared" si="24"/>
        <v>1476800</v>
      </c>
      <c r="AS54" s="19">
        <f t="shared" si="24"/>
        <v>1476800</v>
      </c>
    </row>
    <row r="55" spans="3:45" ht="12.75">
      <c r="C55" s="3" t="s">
        <v>19</v>
      </c>
      <c r="D55" s="21">
        <v>0.95</v>
      </c>
      <c r="E55" s="20">
        <v>0.95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3:45" ht="12.75">
      <c r="C56" s="3" t="str">
        <f>CONCATENATE("Net Electric Horsepower @ ",E19)</f>
        <v>Net Electric Horsepower @ 0.027</v>
      </c>
      <c r="D56" s="19">
        <v>242060</v>
      </c>
      <c r="E56" s="19">
        <f>E53*$E$55</f>
        <v>276640</v>
      </c>
      <c r="F56" s="19">
        <f aca="true" t="shared" si="25" ref="F56:AK57">F53*$E$55</f>
        <v>281580</v>
      </c>
      <c r="G56" s="19">
        <f t="shared" si="25"/>
        <v>286520</v>
      </c>
      <c r="H56" s="19">
        <f t="shared" si="25"/>
        <v>296400</v>
      </c>
      <c r="I56" s="19">
        <f t="shared" si="25"/>
        <v>306280</v>
      </c>
      <c r="J56" s="19">
        <f t="shared" si="25"/>
        <v>311220</v>
      </c>
      <c r="K56" s="19">
        <f t="shared" si="25"/>
        <v>321100</v>
      </c>
      <c r="L56" s="19">
        <f t="shared" si="25"/>
        <v>330980</v>
      </c>
      <c r="M56" s="19">
        <f t="shared" si="25"/>
        <v>335920</v>
      </c>
      <c r="N56" s="19">
        <f t="shared" si="25"/>
        <v>345800</v>
      </c>
      <c r="O56" s="19">
        <f t="shared" si="25"/>
        <v>355680</v>
      </c>
      <c r="P56" s="19">
        <f t="shared" si="25"/>
        <v>365560</v>
      </c>
      <c r="Q56" s="19">
        <f t="shared" si="25"/>
        <v>375440</v>
      </c>
      <c r="R56" s="19">
        <f t="shared" si="25"/>
        <v>385320</v>
      </c>
      <c r="S56" s="19">
        <f t="shared" si="25"/>
        <v>395200</v>
      </c>
      <c r="T56" s="19">
        <f t="shared" si="25"/>
        <v>405080</v>
      </c>
      <c r="U56" s="19">
        <f t="shared" si="25"/>
        <v>419900</v>
      </c>
      <c r="V56" s="19">
        <f t="shared" si="25"/>
        <v>429780</v>
      </c>
      <c r="W56" s="19">
        <f t="shared" si="25"/>
        <v>439660</v>
      </c>
      <c r="X56" s="19">
        <f t="shared" si="25"/>
        <v>454480</v>
      </c>
      <c r="Y56" s="19">
        <f t="shared" si="25"/>
        <v>464360</v>
      </c>
      <c r="Z56" s="19">
        <f t="shared" si="25"/>
        <v>479180</v>
      </c>
      <c r="AA56" s="19">
        <f t="shared" si="25"/>
        <v>489060</v>
      </c>
      <c r="AB56" s="19">
        <f t="shared" si="25"/>
        <v>503880</v>
      </c>
      <c r="AC56" s="19">
        <f t="shared" si="25"/>
        <v>518700</v>
      </c>
      <c r="AD56" s="19">
        <f t="shared" si="25"/>
        <v>528580</v>
      </c>
      <c r="AE56" s="19">
        <f t="shared" si="25"/>
        <v>543400</v>
      </c>
      <c r="AF56" s="19">
        <f t="shared" si="25"/>
        <v>558220</v>
      </c>
      <c r="AG56" s="19">
        <f t="shared" si="25"/>
        <v>573040</v>
      </c>
      <c r="AH56" s="19">
        <f t="shared" si="25"/>
        <v>587860</v>
      </c>
      <c r="AI56" s="19">
        <f t="shared" si="25"/>
        <v>607620</v>
      </c>
      <c r="AJ56" s="19">
        <f t="shared" si="25"/>
        <v>622440</v>
      </c>
      <c r="AK56" s="19">
        <f t="shared" si="25"/>
        <v>637260</v>
      </c>
      <c r="AL56" s="19">
        <f aca="true" t="shared" si="26" ref="AL56:AS56">AL53*$E$55</f>
        <v>657020</v>
      </c>
      <c r="AM56" s="19">
        <f t="shared" si="26"/>
        <v>671840</v>
      </c>
      <c r="AN56" s="19">
        <f t="shared" si="26"/>
        <v>691600</v>
      </c>
      <c r="AO56" s="19">
        <f t="shared" si="26"/>
        <v>711360</v>
      </c>
      <c r="AP56" s="19">
        <f t="shared" si="26"/>
        <v>731120</v>
      </c>
      <c r="AQ56" s="19">
        <f t="shared" si="26"/>
        <v>750880</v>
      </c>
      <c r="AR56" s="19">
        <f t="shared" si="26"/>
        <v>770640</v>
      </c>
      <c r="AS56" s="19">
        <f t="shared" si="26"/>
        <v>790400</v>
      </c>
    </row>
    <row r="57" spans="3:45" ht="12.75">
      <c r="C57" s="3" t="str">
        <f>CONCATENATE("Net Electric Horsepower @ ",E20)</f>
        <v>Net Electric Horsepower @ 0.08</v>
      </c>
      <c r="D57" s="19">
        <v>242060</v>
      </c>
      <c r="E57" s="19">
        <f>E54*$E$55</f>
        <v>276640</v>
      </c>
      <c r="F57" s="19">
        <f t="shared" si="25"/>
        <v>281580</v>
      </c>
      <c r="G57" s="19">
        <f t="shared" si="25"/>
        <v>301340</v>
      </c>
      <c r="H57" s="19">
        <f t="shared" si="25"/>
        <v>326040</v>
      </c>
      <c r="I57" s="19">
        <f t="shared" si="25"/>
        <v>355680</v>
      </c>
      <c r="J57" s="19">
        <f t="shared" si="25"/>
        <v>380380</v>
      </c>
      <c r="K57" s="19">
        <f t="shared" si="25"/>
        <v>410020</v>
      </c>
      <c r="L57" s="19">
        <f t="shared" si="25"/>
        <v>444600</v>
      </c>
      <c r="M57" s="19">
        <f t="shared" si="25"/>
        <v>479180</v>
      </c>
      <c r="N57" s="19">
        <f t="shared" si="25"/>
        <v>518700</v>
      </c>
      <c r="O57" s="19">
        <f t="shared" si="25"/>
        <v>558220</v>
      </c>
      <c r="P57" s="19">
        <f t="shared" si="25"/>
        <v>602680</v>
      </c>
      <c r="Q57" s="19">
        <f t="shared" si="25"/>
        <v>652080</v>
      </c>
      <c r="R57" s="19">
        <f t="shared" si="25"/>
        <v>706420</v>
      </c>
      <c r="S57" s="19">
        <f t="shared" si="25"/>
        <v>760760</v>
      </c>
      <c r="T57" s="19">
        <f t="shared" si="25"/>
        <v>820040</v>
      </c>
      <c r="U57" s="19">
        <f t="shared" si="25"/>
        <v>884260</v>
      </c>
      <c r="V57" s="19">
        <f t="shared" si="25"/>
        <v>958360</v>
      </c>
      <c r="W57" s="19">
        <f t="shared" si="25"/>
        <v>1032460</v>
      </c>
      <c r="X57" s="19">
        <f t="shared" si="25"/>
        <v>1116440</v>
      </c>
      <c r="Y57" s="19">
        <f t="shared" si="25"/>
        <v>1205360</v>
      </c>
      <c r="Z57" s="19">
        <f t="shared" si="25"/>
        <v>1299220</v>
      </c>
      <c r="AA57" s="19">
        <f t="shared" si="25"/>
        <v>1402960</v>
      </c>
      <c r="AB57" s="19">
        <f t="shared" si="25"/>
        <v>1402960</v>
      </c>
      <c r="AC57" s="19">
        <f t="shared" si="25"/>
        <v>1402960</v>
      </c>
      <c r="AD57" s="19">
        <f t="shared" si="25"/>
        <v>1402960</v>
      </c>
      <c r="AE57" s="19">
        <f t="shared" si="25"/>
        <v>1402960</v>
      </c>
      <c r="AF57" s="19">
        <f t="shared" si="25"/>
        <v>1402960</v>
      </c>
      <c r="AG57" s="19">
        <f t="shared" si="25"/>
        <v>1402960</v>
      </c>
      <c r="AH57" s="19">
        <f t="shared" si="25"/>
        <v>1402960</v>
      </c>
      <c r="AI57" s="19">
        <f t="shared" si="25"/>
        <v>1402960</v>
      </c>
      <c r="AJ57" s="19">
        <f t="shared" si="25"/>
        <v>1402960</v>
      </c>
      <c r="AK57" s="19">
        <f t="shared" si="25"/>
        <v>1402960</v>
      </c>
      <c r="AL57" s="19">
        <f aca="true" t="shared" si="27" ref="AL57:AS57">AL54*$E$55</f>
        <v>1402960</v>
      </c>
      <c r="AM57" s="19">
        <f t="shared" si="27"/>
        <v>1402960</v>
      </c>
      <c r="AN57" s="19">
        <f t="shared" si="27"/>
        <v>1402960</v>
      </c>
      <c r="AO57" s="19">
        <f t="shared" si="27"/>
        <v>1402960</v>
      </c>
      <c r="AP57" s="19">
        <f t="shared" si="27"/>
        <v>1402960</v>
      </c>
      <c r="AQ57" s="19">
        <f t="shared" si="27"/>
        <v>1402960</v>
      </c>
      <c r="AR57" s="19">
        <f t="shared" si="27"/>
        <v>1402960</v>
      </c>
      <c r="AS57" s="19">
        <f t="shared" si="27"/>
        <v>1402960</v>
      </c>
    </row>
    <row r="58" spans="3:45" ht="12.75">
      <c r="C58" s="3" t="str">
        <f>CONCATENATE("Total Electric Locomotive Cost @ ",E19)</f>
        <v>Total Electric Locomotive Cost @ 0.027</v>
      </c>
      <c r="D58" s="18">
        <v>17316000</v>
      </c>
      <c r="E58" s="18">
        <f>E47*$E$50</f>
        <v>20592000</v>
      </c>
      <c r="F58" s="18">
        <f aca="true" t="shared" si="28" ref="F58:AK59">F47*$E$50</f>
        <v>468000</v>
      </c>
      <c r="G58" s="18">
        <f t="shared" si="28"/>
        <v>468000</v>
      </c>
      <c r="H58" s="18">
        <f t="shared" si="28"/>
        <v>936000</v>
      </c>
      <c r="I58" s="18">
        <f t="shared" si="28"/>
        <v>936000</v>
      </c>
      <c r="J58" s="18">
        <f t="shared" si="28"/>
        <v>468000</v>
      </c>
      <c r="K58" s="18">
        <f t="shared" si="28"/>
        <v>936000</v>
      </c>
      <c r="L58" s="18">
        <f t="shared" si="28"/>
        <v>936000</v>
      </c>
      <c r="M58" s="18">
        <f t="shared" si="28"/>
        <v>468000</v>
      </c>
      <c r="N58" s="18">
        <f t="shared" si="28"/>
        <v>936000</v>
      </c>
      <c r="O58" s="18">
        <f t="shared" si="28"/>
        <v>6552000</v>
      </c>
      <c r="P58" s="18">
        <f t="shared" si="28"/>
        <v>936000</v>
      </c>
      <c r="Q58" s="18">
        <f t="shared" si="28"/>
        <v>936000</v>
      </c>
      <c r="R58" s="18">
        <f t="shared" si="28"/>
        <v>936000</v>
      </c>
      <c r="S58" s="18">
        <f t="shared" si="28"/>
        <v>936000</v>
      </c>
      <c r="T58" s="18">
        <f t="shared" si="28"/>
        <v>936000</v>
      </c>
      <c r="U58" s="18">
        <f t="shared" si="28"/>
        <v>1404000</v>
      </c>
      <c r="V58" s="18">
        <f t="shared" si="28"/>
        <v>936000</v>
      </c>
      <c r="W58" s="18">
        <f t="shared" si="28"/>
        <v>936000</v>
      </c>
      <c r="X58" s="18">
        <f t="shared" si="28"/>
        <v>1404000</v>
      </c>
      <c r="Y58" s="18">
        <f t="shared" si="28"/>
        <v>936000</v>
      </c>
      <c r="Z58" s="18">
        <f t="shared" si="28"/>
        <v>1404000</v>
      </c>
      <c r="AA58" s="18">
        <f t="shared" si="28"/>
        <v>936000</v>
      </c>
      <c r="AB58" s="18">
        <f t="shared" si="28"/>
        <v>1404000</v>
      </c>
      <c r="AC58" s="18">
        <f t="shared" si="28"/>
        <v>1404000</v>
      </c>
      <c r="AD58" s="18">
        <f t="shared" si="28"/>
        <v>936000</v>
      </c>
      <c r="AE58" s="18">
        <f t="shared" si="28"/>
        <v>1404000</v>
      </c>
      <c r="AF58" s="18">
        <f t="shared" si="28"/>
        <v>1404000</v>
      </c>
      <c r="AG58" s="18">
        <f t="shared" si="28"/>
        <v>1404000</v>
      </c>
      <c r="AH58" s="18">
        <f t="shared" si="28"/>
        <v>1404000</v>
      </c>
      <c r="AI58" s="18">
        <f t="shared" si="28"/>
        <v>1872000</v>
      </c>
      <c r="AJ58" s="18">
        <f t="shared" si="28"/>
        <v>1404000</v>
      </c>
      <c r="AK58" s="18">
        <f t="shared" si="28"/>
        <v>1404000</v>
      </c>
      <c r="AL58" s="18">
        <f aca="true" t="shared" si="29" ref="AL58:AS58">AL47*$E$50</f>
        <v>1872000</v>
      </c>
      <c r="AM58" s="18">
        <f t="shared" si="29"/>
        <v>1404000</v>
      </c>
      <c r="AN58" s="18">
        <f t="shared" si="29"/>
        <v>1872000</v>
      </c>
      <c r="AO58" s="18">
        <f t="shared" si="29"/>
        <v>1872000</v>
      </c>
      <c r="AP58" s="18">
        <f t="shared" si="29"/>
        <v>1872000</v>
      </c>
      <c r="AQ58" s="18">
        <f t="shared" si="29"/>
        <v>1872000</v>
      </c>
      <c r="AR58" s="18">
        <f t="shared" si="29"/>
        <v>1872000</v>
      </c>
      <c r="AS58" s="18">
        <f t="shared" si="29"/>
        <v>1872000</v>
      </c>
    </row>
    <row r="59" spans="3:45" ht="12.75">
      <c r="C59" s="3" t="str">
        <f>CONCATENATE("Total Electric Locomotive Cost @ ",E20)</f>
        <v>Total Electric Locomotive Cost @ 0.08</v>
      </c>
      <c r="D59" s="18">
        <v>17316000</v>
      </c>
      <c r="E59" s="18">
        <f>E48*$E$50</f>
        <v>20592000</v>
      </c>
      <c r="F59" s="18">
        <f t="shared" si="28"/>
        <v>468000</v>
      </c>
      <c r="G59" s="18">
        <f t="shared" si="28"/>
        <v>1872000</v>
      </c>
      <c r="H59" s="18">
        <f t="shared" si="28"/>
        <v>2340000</v>
      </c>
      <c r="I59" s="18">
        <f t="shared" si="28"/>
        <v>2808000</v>
      </c>
      <c r="J59" s="18">
        <f t="shared" si="28"/>
        <v>2340000</v>
      </c>
      <c r="K59" s="18">
        <f t="shared" si="28"/>
        <v>2808000</v>
      </c>
      <c r="L59" s="18">
        <f t="shared" si="28"/>
        <v>3276000</v>
      </c>
      <c r="M59" s="18">
        <f t="shared" si="28"/>
        <v>3276000</v>
      </c>
      <c r="N59" s="18">
        <f t="shared" si="28"/>
        <v>3744000</v>
      </c>
      <c r="O59" s="18">
        <f t="shared" si="28"/>
        <v>9360000</v>
      </c>
      <c r="P59" s="18">
        <f t="shared" si="28"/>
        <v>4212000</v>
      </c>
      <c r="Q59" s="18">
        <f t="shared" si="28"/>
        <v>4680000</v>
      </c>
      <c r="R59" s="18">
        <f t="shared" si="28"/>
        <v>5148000</v>
      </c>
      <c r="S59" s="18">
        <f t="shared" si="28"/>
        <v>5148000</v>
      </c>
      <c r="T59" s="18">
        <f t="shared" si="28"/>
        <v>5616000</v>
      </c>
      <c r="U59" s="18">
        <f t="shared" si="28"/>
        <v>6084000</v>
      </c>
      <c r="V59" s="18">
        <f t="shared" si="28"/>
        <v>7020000</v>
      </c>
      <c r="W59" s="18">
        <f t="shared" si="28"/>
        <v>7020000</v>
      </c>
      <c r="X59" s="18">
        <f t="shared" si="28"/>
        <v>7956000</v>
      </c>
      <c r="Y59" s="18">
        <f t="shared" si="28"/>
        <v>8424000</v>
      </c>
      <c r="Z59" s="18">
        <f t="shared" si="28"/>
        <v>8892000</v>
      </c>
      <c r="AA59" s="18">
        <f t="shared" si="28"/>
        <v>9828000</v>
      </c>
      <c r="AB59" s="18">
        <f t="shared" si="28"/>
        <v>0</v>
      </c>
      <c r="AC59" s="18">
        <f t="shared" si="28"/>
        <v>0</v>
      </c>
      <c r="AD59" s="18">
        <f t="shared" si="28"/>
        <v>0</v>
      </c>
      <c r="AE59" s="18">
        <f t="shared" si="28"/>
        <v>0</v>
      </c>
      <c r="AF59" s="18">
        <f t="shared" si="28"/>
        <v>0</v>
      </c>
      <c r="AG59" s="18">
        <f t="shared" si="28"/>
        <v>0</v>
      </c>
      <c r="AH59" s="18">
        <f t="shared" si="28"/>
        <v>0</v>
      </c>
      <c r="AI59" s="18">
        <f t="shared" si="28"/>
        <v>0</v>
      </c>
      <c r="AJ59" s="18">
        <f t="shared" si="28"/>
        <v>0</v>
      </c>
      <c r="AK59" s="18">
        <f t="shared" si="28"/>
        <v>0</v>
      </c>
      <c r="AL59" s="18">
        <f aca="true" t="shared" si="30" ref="AL59:AS59">AL48*$E$50</f>
        <v>0</v>
      </c>
      <c r="AM59" s="18">
        <f t="shared" si="30"/>
        <v>0</v>
      </c>
      <c r="AN59" s="18">
        <f t="shared" si="30"/>
        <v>0</v>
      </c>
      <c r="AO59" s="18">
        <f t="shared" si="30"/>
        <v>0</v>
      </c>
      <c r="AP59" s="18">
        <f t="shared" si="30"/>
        <v>0</v>
      </c>
      <c r="AQ59" s="18">
        <f t="shared" si="30"/>
        <v>0</v>
      </c>
      <c r="AR59" s="18">
        <f t="shared" si="30"/>
        <v>0</v>
      </c>
      <c r="AS59" s="18">
        <f t="shared" si="30"/>
        <v>0</v>
      </c>
    </row>
    <row r="60" spans="3:45" ht="12.75">
      <c r="C60" s="3" t="str">
        <f>CONCATENATE("NPV, Total Electric Locomotive Cost @",E19)</f>
        <v>NPV, Total Electric Locomotive Cost @0.027</v>
      </c>
      <c r="D60" s="18"/>
      <c r="E60" s="18">
        <f>NPV(E21,E58:AK58)</f>
        <v>26006926.19943056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</row>
    <row r="61" spans="3:45" ht="12.75">
      <c r="C61" s="3" t="str">
        <f>CONCATENATE("NPV, Total Electric Locomotive Cost @",E20)</f>
        <v>NPV, Total Electric Locomotive Cost @0.08</v>
      </c>
      <c r="D61" s="18"/>
      <c r="E61" s="18">
        <f>NPV(E21,E59:AK59)</f>
        <v>42770370.960375726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</row>
    <row r="62" spans="3:45" ht="12.75">
      <c r="C62" s="3" t="s">
        <v>20</v>
      </c>
      <c r="D62" s="23">
        <f>D29</f>
        <v>30</v>
      </c>
      <c r="E62" s="23">
        <f>E29</f>
        <v>30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3:45" ht="12.75">
      <c r="C63" s="3" t="str">
        <f>CONCATENATE("Electric Locomotive Lease @",E19)</f>
        <v>Electric Locomotive Lease @0.027</v>
      </c>
      <c r="D63" s="24"/>
      <c r="E63" s="18">
        <f>-PMT($E$22,$E$29,E58,E58*0.1,1)</f>
        <v>1852712.9932342416</v>
      </c>
      <c r="F63" s="22">
        <f>E63-PMT($E$22,$E$29,F58,F58*0.1,1)</f>
        <v>1894820.106716838</v>
      </c>
      <c r="G63" s="18">
        <f aca="true" t="shared" si="31" ref="G63:AK64">F63-PMT($E$22,$E$29,G58,G58*0.1,1)</f>
        <v>1936927.2201994343</v>
      </c>
      <c r="H63" s="18">
        <f t="shared" si="31"/>
        <v>2021141.447164627</v>
      </c>
      <c r="I63" s="18">
        <f t="shared" si="31"/>
        <v>2105355.67412982</v>
      </c>
      <c r="J63" s="18">
        <f t="shared" si="31"/>
        <v>2147462.7876124163</v>
      </c>
      <c r="K63" s="18">
        <f t="shared" si="31"/>
        <v>2231677.014577609</v>
      </c>
      <c r="L63" s="18">
        <f t="shared" si="31"/>
        <v>2315891.2415428017</v>
      </c>
      <c r="M63" s="18">
        <f t="shared" si="31"/>
        <v>2357998.355025398</v>
      </c>
      <c r="N63" s="18">
        <f t="shared" si="31"/>
        <v>2442212.581990591</v>
      </c>
      <c r="O63" s="18">
        <f t="shared" si="31"/>
        <v>3031712.17074694</v>
      </c>
      <c r="P63" s="18">
        <f t="shared" si="31"/>
        <v>3115926.397712133</v>
      </c>
      <c r="Q63" s="18">
        <f t="shared" si="31"/>
        <v>3200140.6246773256</v>
      </c>
      <c r="R63" s="18">
        <f t="shared" si="31"/>
        <v>3284354.8516425183</v>
      </c>
      <c r="S63" s="18">
        <f t="shared" si="31"/>
        <v>3368569.078607711</v>
      </c>
      <c r="T63" s="18">
        <f t="shared" si="31"/>
        <v>3452783.3055729037</v>
      </c>
      <c r="U63" s="18">
        <f t="shared" si="31"/>
        <v>3579104.646020693</v>
      </c>
      <c r="V63" s="18">
        <f t="shared" si="31"/>
        <v>3663318.8729858855</v>
      </c>
      <c r="W63" s="18">
        <f t="shared" si="31"/>
        <v>3747533.099951078</v>
      </c>
      <c r="X63" s="18">
        <f t="shared" si="31"/>
        <v>3873854.4403988672</v>
      </c>
      <c r="Y63" s="18">
        <f t="shared" si="31"/>
        <v>3958068.66736406</v>
      </c>
      <c r="Z63" s="18">
        <f t="shared" si="31"/>
        <v>4084390.007811849</v>
      </c>
      <c r="AA63" s="18">
        <f t="shared" si="31"/>
        <v>4168604.2347770417</v>
      </c>
      <c r="AB63" s="18">
        <f t="shared" si="31"/>
        <v>4294925.575224831</v>
      </c>
      <c r="AC63" s="18">
        <f t="shared" si="31"/>
        <v>4421246.91567262</v>
      </c>
      <c r="AD63" s="18">
        <f t="shared" si="31"/>
        <v>4505461.1426378125</v>
      </c>
      <c r="AE63" s="18">
        <f t="shared" si="31"/>
        <v>4631782.483085602</v>
      </c>
      <c r="AF63" s="18">
        <f t="shared" si="31"/>
        <v>4758103.823533391</v>
      </c>
      <c r="AG63" s="18">
        <f t="shared" si="31"/>
        <v>4884425.16398118</v>
      </c>
      <c r="AH63" s="18">
        <f t="shared" si="31"/>
        <v>5010746.504428969</v>
      </c>
      <c r="AI63" s="18">
        <f t="shared" si="31"/>
        <v>5179174.958359354</v>
      </c>
      <c r="AJ63" s="18">
        <f t="shared" si="31"/>
        <v>5305496.298807143</v>
      </c>
      <c r="AK63" s="18">
        <f t="shared" si="31"/>
        <v>5431817.639254932</v>
      </c>
      <c r="AL63" s="18">
        <f>AK63-PMT($E$22,$E$29,AL58,AL58*0.1,1)</f>
        <v>5600246.093185318</v>
      </c>
      <c r="AM63" s="18">
        <f>AL63-PMT($E$22,$E$29,AM58,AM58*0.1,1)</f>
        <v>5726567.433633107</v>
      </c>
      <c r="AN63" s="18">
        <f>AM63-PMT($E$22,$E$29,AN58,AN58*0.1,1)</f>
        <v>5894995.887563492</v>
      </c>
      <c r="AO63" s="18">
        <f>AN63-PMT($E$22,$E$29,AO58,AO58*0.1,1)</f>
        <v>6063424.341493878</v>
      </c>
      <c r="AP63" s="18">
        <f>AO63-PMT($E$22,$E$29,AP58,AP58*0.1,1)</f>
        <v>6231852.795424263</v>
      </c>
      <c r="AQ63" s="18">
        <f>AP63-PMT($E$22,$E$29,AQ58,AQ58*0.1,1)</f>
        <v>6400281.249354648</v>
      </c>
      <c r="AR63" s="18">
        <f>AQ63-PMT($E$22,$E$29,AR58,AR58*0.1,1)</f>
        <v>6568709.703285034</v>
      </c>
      <c r="AS63" s="18">
        <f>AR63-PMT($E$22,$E$29,AS58,AS58*0.1,1)</f>
        <v>6737138.157215419</v>
      </c>
    </row>
    <row r="64" spans="3:45" ht="12.75">
      <c r="C64" s="3" t="str">
        <f>CONCATENATE("Electric Locomotive Lease @",E20)</f>
        <v>Electric Locomotive Lease @0.08</v>
      </c>
      <c r="D64" s="24"/>
      <c r="E64" s="18">
        <f>-PMT($E$22,$E$29,E59,E59*0.1,1)</f>
        <v>1852712.9932342416</v>
      </c>
      <c r="F64" s="22">
        <f>E64-PMT($E$22,$E$29,F59,F59*0.1,1)</f>
        <v>1894820.106716838</v>
      </c>
      <c r="G64" s="18">
        <f t="shared" si="31"/>
        <v>2063248.5606472236</v>
      </c>
      <c r="H64" s="18">
        <f t="shared" si="31"/>
        <v>2273784.1280602054</v>
      </c>
      <c r="I64" s="18">
        <f t="shared" si="31"/>
        <v>2526426.808955784</v>
      </c>
      <c r="J64" s="18">
        <f t="shared" si="31"/>
        <v>2736962.3763687657</v>
      </c>
      <c r="K64" s="18">
        <f t="shared" si="31"/>
        <v>2989605.0572643443</v>
      </c>
      <c r="L64" s="18">
        <f t="shared" si="31"/>
        <v>3284354.8516425192</v>
      </c>
      <c r="M64" s="18">
        <f t="shared" si="31"/>
        <v>3579104.646020694</v>
      </c>
      <c r="N64" s="18">
        <f t="shared" si="31"/>
        <v>3915961.5538814655</v>
      </c>
      <c r="O64" s="18">
        <f t="shared" si="31"/>
        <v>4758103.823533393</v>
      </c>
      <c r="P64" s="18">
        <f t="shared" si="31"/>
        <v>5137067.844876761</v>
      </c>
      <c r="Q64" s="18">
        <f t="shared" si="31"/>
        <v>5558138.979702724</v>
      </c>
      <c r="R64" s="18">
        <f t="shared" si="31"/>
        <v>6021317.228011285</v>
      </c>
      <c r="S64" s="18">
        <f t="shared" si="31"/>
        <v>6484495.476319846</v>
      </c>
      <c r="T64" s="18">
        <f t="shared" si="31"/>
        <v>6989780.838111003</v>
      </c>
      <c r="U64" s="18">
        <f t="shared" si="31"/>
        <v>7537173.313384756</v>
      </c>
      <c r="V64" s="18">
        <f t="shared" si="31"/>
        <v>8168780.015623703</v>
      </c>
      <c r="W64" s="18">
        <f t="shared" si="31"/>
        <v>8800386.717862649</v>
      </c>
      <c r="X64" s="18">
        <f t="shared" si="31"/>
        <v>9516207.647066787</v>
      </c>
      <c r="Y64" s="18">
        <f t="shared" si="31"/>
        <v>10274135.689753521</v>
      </c>
      <c r="Z64" s="18">
        <f t="shared" si="31"/>
        <v>11074170.845922854</v>
      </c>
      <c r="AA64" s="18">
        <f t="shared" si="31"/>
        <v>11958420.229057379</v>
      </c>
      <c r="AB64" s="18">
        <f t="shared" si="31"/>
        <v>11958420.229057379</v>
      </c>
      <c r="AC64" s="18">
        <f t="shared" si="31"/>
        <v>11958420.229057379</v>
      </c>
      <c r="AD64" s="18">
        <f t="shared" si="31"/>
        <v>11958420.229057379</v>
      </c>
      <c r="AE64" s="18">
        <f t="shared" si="31"/>
        <v>11958420.229057379</v>
      </c>
      <c r="AF64" s="18">
        <f t="shared" si="31"/>
        <v>11958420.229057379</v>
      </c>
      <c r="AG64" s="18">
        <f t="shared" si="31"/>
        <v>11958420.229057379</v>
      </c>
      <c r="AH64" s="18">
        <f t="shared" si="31"/>
        <v>11958420.229057379</v>
      </c>
      <c r="AI64" s="18">
        <f t="shared" si="31"/>
        <v>11958420.229057379</v>
      </c>
      <c r="AJ64" s="18">
        <f t="shared" si="31"/>
        <v>11958420.229057379</v>
      </c>
      <c r="AK64" s="18">
        <f t="shared" si="31"/>
        <v>11958420.229057379</v>
      </c>
      <c r="AL64" s="18">
        <f>AK64-PMT($E$22,$E$29,AL59,AL59*0.1,1)</f>
        <v>11958420.229057379</v>
      </c>
      <c r="AM64" s="18">
        <f>AL64-PMT($E$22,$E$29,AM59,AM59*0.1,1)</f>
        <v>11958420.229057379</v>
      </c>
      <c r="AN64" s="18">
        <f>AM64-PMT($E$22,$E$29,AN59,AN59*0.1,1)</f>
        <v>11958420.229057379</v>
      </c>
      <c r="AO64" s="18">
        <f>AN64-PMT($E$22,$E$29,AO59,AO59*0.1,1)</f>
        <v>11958420.229057379</v>
      </c>
      <c r="AP64" s="18">
        <f>AO64-PMT($E$22,$E$29,AP59,AP59*0.1,1)</f>
        <v>11958420.229057379</v>
      </c>
      <c r="AQ64" s="18">
        <f>AP64-PMT($E$22,$E$29,AQ59,AQ59*0.1,1)</f>
        <v>11958420.229057379</v>
      </c>
      <c r="AR64" s="18">
        <f>AQ64-PMT($E$22,$E$29,AR59,AR59*0.1,1)</f>
        <v>11958420.229057379</v>
      </c>
      <c r="AS64" s="18">
        <f>AR64-PMT($E$22,$E$29,AS59,AS59*0.1,1)</f>
        <v>11958420.229057379</v>
      </c>
    </row>
    <row r="65" spans="3:45" ht="12.75">
      <c r="C65" s="3" t="str">
        <f>CONCATENATE("ICC Locomotive Inspection Charges @ ",E19)</f>
        <v>ICC Locomotive Inspection Charges @ 0.027</v>
      </c>
      <c r="D65" s="27">
        <v>590</v>
      </c>
      <c r="E65" s="22">
        <v>590</v>
      </c>
      <c r="F65" s="22">
        <f aca="true" t="shared" si="32" ref="F65:AK66">F43*$E$65*F$24</f>
        <v>33630</v>
      </c>
      <c r="G65" s="22">
        <f t="shared" si="32"/>
        <v>35931</v>
      </c>
      <c r="H65" s="22">
        <f t="shared" si="32"/>
        <v>39028.5</v>
      </c>
      <c r="I65" s="22">
        <f t="shared" si="32"/>
        <v>42345.92250000001</v>
      </c>
      <c r="J65" s="22">
        <f t="shared" si="32"/>
        <v>45180.367312500006</v>
      </c>
      <c r="K65" s="22">
        <f t="shared" si="32"/>
        <v>48945.39792187501</v>
      </c>
      <c r="L65" s="22">
        <f t="shared" si="32"/>
        <v>52973.98067390627</v>
      </c>
      <c r="M65" s="22">
        <f t="shared" si="32"/>
        <v>56452.86895696877</v>
      </c>
      <c r="N65" s="22">
        <f t="shared" si="32"/>
        <v>61018.9098284883</v>
      </c>
      <c r="O65" s="22">
        <f t="shared" si="32"/>
        <v>65900.42261476738</v>
      </c>
      <c r="P65" s="22">
        <f t="shared" si="32"/>
        <v>71117.53940510312</v>
      </c>
      <c r="Q65" s="22">
        <f t="shared" si="32"/>
        <v>76691.61681793553</v>
      </c>
      <c r="R65" s="22">
        <f t="shared" si="32"/>
        <v>82645.30812353842</v>
      </c>
      <c r="S65" s="22">
        <f t="shared" si="32"/>
        <v>89002.63951765676</v>
      </c>
      <c r="T65" s="22">
        <f t="shared" si="32"/>
        <v>95789.09078087809</v>
      </c>
      <c r="U65" s="22">
        <f t="shared" si="32"/>
        <v>104258.24819748012</v>
      </c>
      <c r="V65" s="22">
        <f t="shared" si="32"/>
        <v>112046.95262164483</v>
      </c>
      <c r="W65" s="22">
        <f t="shared" si="32"/>
        <v>120353.88186773227</v>
      </c>
      <c r="X65" s="22">
        <f t="shared" si="32"/>
        <v>130631.2920047521</v>
      </c>
      <c r="Y65" s="22">
        <f t="shared" si="32"/>
        <v>140144.65783553297</v>
      </c>
      <c r="Z65" s="22">
        <f t="shared" si="32"/>
        <v>151848.22766541524</v>
      </c>
      <c r="AA65" s="22">
        <f t="shared" si="32"/>
        <v>162728.0749053599</v>
      </c>
      <c r="AB65" s="22">
        <f t="shared" si="32"/>
        <v>176042.19012488937</v>
      </c>
      <c r="AC65" s="22">
        <f t="shared" si="32"/>
        <v>190280.89667910835</v>
      </c>
      <c r="AD65" s="22">
        <f t="shared" si="32"/>
        <v>203600.55944664596</v>
      </c>
      <c r="AE65" s="22">
        <f t="shared" si="32"/>
        <v>219774.43566437016</v>
      </c>
      <c r="AF65" s="22">
        <f t="shared" si="32"/>
        <v>237056.6981052502</v>
      </c>
      <c r="AG65" s="22">
        <f t="shared" si="32"/>
        <v>255517.7507010573</v>
      </c>
      <c r="AH65" s="22">
        <f t="shared" si="32"/>
        <v>275232.26681118197</v>
      </c>
      <c r="AI65" s="22">
        <f t="shared" si="32"/>
        <v>298707.9601568416</v>
      </c>
      <c r="AJ65" s="22">
        <f t="shared" si="32"/>
        <v>321293.1961687004</v>
      </c>
      <c r="AK65" s="22">
        <f t="shared" si="32"/>
        <v>345390.1858813529</v>
      </c>
      <c r="AL65" s="22">
        <f aca="true" t="shared" si="33" ref="AL65:AS65">AL43*$E$65*AL$24</f>
        <v>373904.95704132505</v>
      </c>
      <c r="AM65" s="22">
        <f t="shared" si="33"/>
        <v>401455.8486127911</v>
      </c>
      <c r="AN65" s="22">
        <f t="shared" si="33"/>
        <v>433926.54225059034</v>
      </c>
      <c r="AO65" s="22">
        <f t="shared" si="33"/>
        <v>468640.6656306376</v>
      </c>
      <c r="AP65" s="22">
        <f t="shared" si="33"/>
        <v>505741.38499306305</v>
      </c>
      <c r="AQ65" s="22">
        <f t="shared" si="33"/>
        <v>545380.5746276545</v>
      </c>
      <c r="AR65" s="22">
        <f t="shared" si="33"/>
        <v>587719.3297632224</v>
      </c>
      <c r="AS65" s="22">
        <f t="shared" si="33"/>
        <v>632928.5089757779</v>
      </c>
    </row>
    <row r="66" spans="3:45" ht="12.75">
      <c r="C66" s="3" t="str">
        <f>CONCATENATE("ICC Locomotive Inspection Charges @ ",E20)</f>
        <v>ICC Locomotive Inspection Charges @ 0.08</v>
      </c>
      <c r="D66" s="27">
        <v>590</v>
      </c>
      <c r="E66" s="22">
        <v>590</v>
      </c>
      <c r="F66" s="22">
        <f t="shared" si="32"/>
        <v>33630</v>
      </c>
      <c r="G66" s="22">
        <f t="shared" si="32"/>
        <v>37789.5</v>
      </c>
      <c r="H66" s="22">
        <f t="shared" si="32"/>
        <v>42931.35</v>
      </c>
      <c r="I66" s="22">
        <f t="shared" si="32"/>
        <v>49175.91</v>
      </c>
      <c r="J66" s="22">
        <f t="shared" si="32"/>
        <v>55220.44893750001</v>
      </c>
      <c r="K66" s="22">
        <f t="shared" si="32"/>
        <v>62499.508115625016</v>
      </c>
      <c r="L66" s="22">
        <f t="shared" si="32"/>
        <v>71159.07851718752</v>
      </c>
      <c r="M66" s="22">
        <f t="shared" si="32"/>
        <v>80528.35718861721</v>
      </c>
      <c r="N66" s="22">
        <f t="shared" si="32"/>
        <v>91528.36474273245</v>
      </c>
      <c r="O66" s="22">
        <f t="shared" si="32"/>
        <v>103427.05215928768</v>
      </c>
      <c r="P66" s="22">
        <f t="shared" si="32"/>
        <v>117247.83523544027</v>
      </c>
      <c r="Q66" s="22">
        <f t="shared" si="32"/>
        <v>133201.22921009857</v>
      </c>
      <c r="R66" s="22">
        <f t="shared" si="32"/>
        <v>151516.3982264871</v>
      </c>
      <c r="S66" s="22">
        <f t="shared" si="32"/>
        <v>171330.08107148926</v>
      </c>
      <c r="T66" s="22">
        <f t="shared" si="32"/>
        <v>193914.50084909465</v>
      </c>
      <c r="U66" s="22">
        <f t="shared" si="32"/>
        <v>219555.60502763462</v>
      </c>
      <c r="V66" s="22">
        <f t="shared" si="32"/>
        <v>249851.8253861965</v>
      </c>
      <c r="W66" s="22">
        <f t="shared" si="32"/>
        <v>282628.7787680455</v>
      </c>
      <c r="X66" s="22">
        <f t="shared" si="32"/>
        <v>320898.6086203693</v>
      </c>
      <c r="Y66" s="22">
        <f t="shared" si="32"/>
        <v>363779.75012627704</v>
      </c>
      <c r="Z66" s="22">
        <f t="shared" si="32"/>
        <v>411712.20490725985</v>
      </c>
      <c r="AA66" s="22">
        <f t="shared" si="32"/>
        <v>466815.8916476992</v>
      </c>
      <c r="AB66" s="22">
        <f t="shared" si="32"/>
        <v>490156.6862300841</v>
      </c>
      <c r="AC66" s="22">
        <f t="shared" si="32"/>
        <v>514664.52054158837</v>
      </c>
      <c r="AD66" s="22">
        <f t="shared" si="32"/>
        <v>540397.7465686677</v>
      </c>
      <c r="AE66" s="22">
        <f t="shared" si="32"/>
        <v>567417.6338971012</v>
      </c>
      <c r="AF66" s="22">
        <f t="shared" si="32"/>
        <v>595788.5155919562</v>
      </c>
      <c r="AG66" s="22">
        <f t="shared" si="32"/>
        <v>625577.941371554</v>
      </c>
      <c r="AH66" s="22">
        <f t="shared" si="32"/>
        <v>656856.8384401317</v>
      </c>
      <c r="AI66" s="22">
        <f t="shared" si="32"/>
        <v>689699.6803621383</v>
      </c>
      <c r="AJ66" s="22">
        <f t="shared" si="32"/>
        <v>724184.6643802453</v>
      </c>
      <c r="AK66" s="22">
        <f t="shared" si="32"/>
        <v>760393.8975992575</v>
      </c>
      <c r="AL66" s="22">
        <f aca="true" t="shared" si="34" ref="AL66:AS66">AL44*$E$65*AL$24</f>
        <v>798413.5924792204</v>
      </c>
      <c r="AM66" s="22">
        <f t="shared" si="34"/>
        <v>838334.2721031815</v>
      </c>
      <c r="AN66" s="22">
        <f t="shared" si="34"/>
        <v>880250.9857083404</v>
      </c>
      <c r="AO66" s="22">
        <f t="shared" si="34"/>
        <v>924263.5349937575</v>
      </c>
      <c r="AP66" s="22">
        <f t="shared" si="34"/>
        <v>970476.7117434454</v>
      </c>
      <c r="AQ66" s="22">
        <f t="shared" si="34"/>
        <v>1019000.5473306176</v>
      </c>
      <c r="AR66" s="22">
        <f t="shared" si="34"/>
        <v>1069950.5746971485</v>
      </c>
      <c r="AS66" s="22">
        <f t="shared" si="34"/>
        <v>1123448.1034320057</v>
      </c>
    </row>
    <row r="67" spans="3:45" ht="12.75">
      <c r="C67" s="7" t="str">
        <f>CONCATENATE("Substation and Supply Improvements @ ",E19)</f>
        <v>Substation and Supply Improvements @ 0.027</v>
      </c>
      <c r="D67" s="27">
        <v>11000000</v>
      </c>
      <c r="E67" s="26">
        <f>'Upgrade Detail'!E34</f>
        <v>11773000</v>
      </c>
      <c r="F67" s="18">
        <f>IF(F19-$D$18&gt;=1500000,IF(F19-$D$18&gt;=3000000,'Upgrade Detail'!$J$28*F24,'Upgrade Detail'!$G$28*F24),0)</f>
        <v>0</v>
      </c>
      <c r="G67" s="18">
        <f>(IF(G19-$D$18&gt;=1500000,IF(G19-$D$18&gt;=3000000,'Upgrade Detail'!$J$28*G24,'Upgrade Detail'!$G$28*G24),0))</f>
        <v>0</v>
      </c>
      <c r="H67" s="18">
        <f>(IF(H19-$D$18&gt;=1500000,IF(H19-$D$18&gt;=3000000,'Upgrade Detail'!$J$28*H24,'Upgrade Detail'!$G$28*H24),0))</f>
        <v>0</v>
      </c>
      <c r="I67" s="18">
        <f>(IF(I19-$D$18&gt;=1500000,IF(I19-$D$18&gt;=3000000,'Upgrade Detail'!$J$28*I24,'Upgrade Detail'!$G$28*I24),0))</f>
        <v>0</v>
      </c>
      <c r="J67" s="18">
        <f>(IF(J19-$D$18&gt;=1500000,IF(J19-$D$18&gt;=3000000,'Upgrade Detail'!$J$28*J24,'Upgrade Detail'!$G$28*J24),0))</f>
        <v>0</v>
      </c>
      <c r="K67" s="18">
        <f>(IF(K19-$D$18&gt;=1500000,IF(K19-$D$18&gt;=3000000,'Upgrade Detail'!$J$28*K24,'Upgrade Detail'!$G$28*K24),0))</f>
        <v>0</v>
      </c>
      <c r="L67" s="18">
        <f>(IF(L19-$D$18&gt;=1500000,IF(L19-$D$18&gt;=3000000,'Upgrade Detail'!$J$28*L24,'Upgrade Detail'!$G$28*L24),0))</f>
        <v>2489897.7002812508</v>
      </c>
      <c r="M67" s="18">
        <f>IF(M19-$D$18&gt;=3000000,'Upgrade Detail'!$G$28*M24,0)</f>
        <v>0</v>
      </c>
      <c r="N67" s="18">
        <f>IF(N19-$D$18&gt;=3000000,'Upgrade Detail'!$G$28*N24,0)</f>
        <v>0</v>
      </c>
      <c r="O67" s="18">
        <f>IF(O19-$D$18&gt;=3000000,'Upgrade Detail'!$G$28*O24,0)</f>
        <v>0</v>
      </c>
      <c r="P67" s="18">
        <f>IF(P19-$D$18&gt;=3000000,'Upgrade Detail'!$G$28*P24,0)</f>
        <v>0</v>
      </c>
      <c r="Q67" s="18">
        <f>IF(Q19-$D$18&gt;=3000000,'Upgrade Detail'!$G$28*Q24,0)</f>
        <v>0</v>
      </c>
      <c r="R67" s="18">
        <f>IF(R19-$D$18&gt;=3000000,'Upgrade Detail'!$J$28*R24,0)</f>
        <v>1652187.8199403596</v>
      </c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3:45" ht="12.75">
      <c r="C68" s="7" t="str">
        <f>CONCATENATE("Substation and Supply Improvements @ ",E20)</f>
        <v>Substation and Supply Improvements @ 0.08</v>
      </c>
      <c r="D68" s="27"/>
      <c r="E68" s="47">
        <f>E67</f>
        <v>11773000</v>
      </c>
      <c r="F68" s="18">
        <f>IF(F20-$D$18&gt;=1500000,IF(F20-$D$18&gt;=3000000,'Upgrade Detail'!$G$28*F24,'Upgrade Detail'!$J$28*F24),0)</f>
        <v>0</v>
      </c>
      <c r="G68" s="18">
        <f>IF(G20-$D$18&gt;=1500000,IF(G20-$D$18&gt;=3000000,'Upgrade Detail'!$G$28*G24,'Upgrade Detail'!$J$28*G24),0)</f>
        <v>0</v>
      </c>
      <c r="H68" s="18">
        <f>IF(H20-$D$18&gt;=1500000,IF(H20-$D$18&gt;=3000000,'Upgrade Detail'!$G$28*H24,'Upgrade Detail'!$J$28*H24),0)</f>
        <v>1014300</v>
      </c>
      <c r="I68" s="18">
        <f>IF(I20-$D$18&gt;=1500000,IF(I20-$D$18&gt;=3000000,'Upgrade Detail'!$G$28*I24,'Upgrade Detail'!$J$28*I24),0)</f>
        <v>1065015</v>
      </c>
      <c r="J68" s="18">
        <v>0</v>
      </c>
      <c r="K68" s="18">
        <f>IF(K20-$D$18&gt;=3000000,'Upgrade Detail'!$J$28*K24,0)</f>
        <v>1174179.0375000003</v>
      </c>
      <c r="L68" s="18">
        <f>IF(L20-$D$18&gt;=3000000,'Upgrade Detail'!$J$28*L24,0)</f>
        <v>1232887.9893750004</v>
      </c>
      <c r="M68" s="18">
        <f>IF(M20-$D$18&gt;=3000000,'Upgrade Detail'!$J$28*M24,0)</f>
        <v>1294532.3888437503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1</v>
      </c>
      <c r="AM68" s="18">
        <v>2</v>
      </c>
      <c r="AN68" s="18">
        <v>3</v>
      </c>
      <c r="AO68" s="18">
        <v>4</v>
      </c>
      <c r="AP68" s="18">
        <v>5</v>
      </c>
      <c r="AQ68" s="18">
        <v>6</v>
      </c>
      <c r="AR68" s="18">
        <v>7</v>
      </c>
      <c r="AS68" s="18">
        <v>8</v>
      </c>
    </row>
    <row r="69" spans="3:45" ht="12.75">
      <c r="C69" s="7" t="str">
        <f>CONCATENATE("NPV,Substation and Supply @",E19)</f>
        <v>NPV,Substation and Supply @0.027</v>
      </c>
      <c r="D69" s="27"/>
      <c r="E69" s="47">
        <f>NPV(E21,E67:AK67)</f>
        <v>11855305.425507614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</row>
    <row r="70" spans="3:45" ht="12.75">
      <c r="C70" s="7" t="str">
        <f>CONCATENATE("NPV,Substation and Supply @",E20)</f>
        <v>NPV,Substation and Supply @0.08</v>
      </c>
      <c r="D70" s="27"/>
      <c r="E70" s="47">
        <f>NPV(E21,E68:AK68)</f>
        <v>13256434.346770635</v>
      </c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</row>
    <row r="71" spans="3:45" ht="12.75">
      <c r="C71" s="3" t="s">
        <v>21</v>
      </c>
      <c r="D71" s="27">
        <v>1550000</v>
      </c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3:45" ht="12.75">
      <c r="C72" s="7" t="s">
        <v>51</v>
      </c>
      <c r="D72" s="27"/>
      <c r="E72" s="27">
        <f>-PMT($E$22,$E$27,$E$67,$E$67*0.1,1)</f>
        <v>986658.9997524272</v>
      </c>
      <c r="F72" s="31">
        <f>E72-PMT($E$22,$E$27,F67,F67*0.01,1)</f>
        <v>986658.9997524272</v>
      </c>
      <c r="G72" s="29">
        <f aca="true" t="shared" si="35" ref="G72:AK72">F72-PMT($E$22,$E$27,G67,G67*0.01,1)</f>
        <v>986658.9997524272</v>
      </c>
      <c r="H72" s="29">
        <f>G72-PMT($E$22,$E$27,H67,H67*0.01,1)</f>
        <v>986658.9997524272</v>
      </c>
      <c r="I72" s="29">
        <f t="shared" si="35"/>
        <v>986658.9997524272</v>
      </c>
      <c r="J72" s="29">
        <f t="shared" si="35"/>
        <v>986658.9997524272</v>
      </c>
      <c r="K72" s="29">
        <f t="shared" si="35"/>
        <v>986658.9997524272</v>
      </c>
      <c r="L72" s="29">
        <f t="shared" si="35"/>
        <v>1195077.4555349143</v>
      </c>
      <c r="M72" s="29">
        <f t="shared" si="35"/>
        <v>1195077.4555349143</v>
      </c>
      <c r="N72" s="29">
        <f t="shared" si="35"/>
        <v>1195077.4555349143</v>
      </c>
      <c r="O72" s="29">
        <f t="shared" si="35"/>
        <v>1195077.4555349143</v>
      </c>
      <c r="P72" s="29">
        <f t="shared" si="35"/>
        <v>1195077.4555349143</v>
      </c>
      <c r="Q72" s="29">
        <f t="shared" si="35"/>
        <v>1195077.4555349143</v>
      </c>
      <c r="R72" s="29">
        <f t="shared" si="35"/>
        <v>1333374.8779774937</v>
      </c>
      <c r="S72" s="29">
        <f t="shared" si="35"/>
        <v>1333374.8779774937</v>
      </c>
      <c r="T72" s="29">
        <f t="shared" si="35"/>
        <v>1333374.8779774937</v>
      </c>
      <c r="U72" s="29">
        <f t="shared" si="35"/>
        <v>1333374.8779774937</v>
      </c>
      <c r="V72" s="29">
        <f t="shared" si="35"/>
        <v>1333374.8779774937</v>
      </c>
      <c r="W72" s="29">
        <f t="shared" si="35"/>
        <v>1333374.8779774937</v>
      </c>
      <c r="X72" s="29">
        <f t="shared" si="35"/>
        <v>1333374.8779774937</v>
      </c>
      <c r="Y72" s="29">
        <f t="shared" si="35"/>
        <v>1333374.8779774937</v>
      </c>
      <c r="Z72" s="29">
        <f t="shared" si="35"/>
        <v>1333374.8779774937</v>
      </c>
      <c r="AA72" s="29">
        <f t="shared" si="35"/>
        <v>1333374.8779774937</v>
      </c>
      <c r="AB72" s="29">
        <f t="shared" si="35"/>
        <v>1333374.8779774937</v>
      </c>
      <c r="AC72" s="29">
        <f t="shared" si="35"/>
        <v>1333374.8779774937</v>
      </c>
      <c r="AD72" s="29">
        <f t="shared" si="35"/>
        <v>1333374.8779774937</v>
      </c>
      <c r="AE72" s="29">
        <f t="shared" si="35"/>
        <v>1333374.8779774937</v>
      </c>
      <c r="AF72" s="29">
        <f t="shared" si="35"/>
        <v>1333374.8779774937</v>
      </c>
      <c r="AG72" s="29">
        <f t="shared" si="35"/>
        <v>1333374.8779774937</v>
      </c>
      <c r="AH72" s="29">
        <f t="shared" si="35"/>
        <v>1333374.8779774937</v>
      </c>
      <c r="AI72" s="29">
        <f t="shared" si="35"/>
        <v>1333374.8779774937</v>
      </c>
      <c r="AJ72" s="29">
        <f t="shared" si="35"/>
        <v>1333374.8779774937</v>
      </c>
      <c r="AK72" s="29">
        <f t="shared" si="35"/>
        <v>1333374.8779774937</v>
      </c>
      <c r="AL72" s="29">
        <f>AK72-PMT($E$22,$E$27,AL67,AL67*0.01,1)</f>
        <v>1333374.8779774937</v>
      </c>
      <c r="AM72" s="29">
        <f>AL72-PMT($E$22,$E$27,AM67,AM67*0.01,1)</f>
        <v>1333374.8779774937</v>
      </c>
      <c r="AN72" s="29">
        <f>AM72-PMT($E$22,$E$27,AN67,AN67*0.01,1)</f>
        <v>1333374.8779774937</v>
      </c>
      <c r="AO72" s="29">
        <f>AN72-PMT($E$22,$E$27,AO67,AO67*0.01,1)</f>
        <v>1333374.8779774937</v>
      </c>
      <c r="AP72" s="29">
        <f>AO72-PMT($E$22,$E$27,AP67,AP67*0.01,1)</f>
        <v>1333374.8779774937</v>
      </c>
      <c r="AQ72" s="29">
        <f>AP72-PMT($E$22,$E$27,AQ67,AQ67*0.01,1)</f>
        <v>1333374.8779774937</v>
      </c>
      <c r="AR72" s="29">
        <f>AQ72-PMT($E$22,$E$27,AR67,AR67*0.01,1)</f>
        <v>1333374.8779774937</v>
      </c>
      <c r="AS72" s="29">
        <f>AR72-PMT($E$22,$E$27,AS67,AS67*0.01,1)</f>
        <v>1333374.8779774937</v>
      </c>
    </row>
    <row r="73" spans="3:45" ht="12.75">
      <c r="C73" s="7" t="str">
        <f>CONCATENATE("Maint. Cost/MGTM @ ",E19)</f>
        <v>Maint. Cost/MGTM @ 0.027</v>
      </c>
      <c r="D73" s="28">
        <v>0.0112</v>
      </c>
      <c r="E73" s="28">
        <v>0.0112</v>
      </c>
      <c r="F73" s="31">
        <f>$E$73*F$24*F19</f>
        <v>82117.44340799999</v>
      </c>
      <c r="G73" s="29">
        <f aca="true" t="shared" si="36" ref="F73:AK74">$E$73*G$24*G19</f>
        <v>88551.34509901679</v>
      </c>
      <c r="H73" s="29">
        <f t="shared" si="36"/>
        <v>95489.34298752475</v>
      </c>
      <c r="I73" s="29">
        <f t="shared" si="36"/>
        <v>102970.93301059735</v>
      </c>
      <c r="J73" s="29">
        <f t="shared" si="36"/>
        <v>111038.70561197767</v>
      </c>
      <c r="K73" s="29">
        <f t="shared" si="36"/>
        <v>119738.58819667612</v>
      </c>
      <c r="L73" s="29">
        <f t="shared" si="36"/>
        <v>129120.1065818857</v>
      </c>
      <c r="M73" s="29">
        <f t="shared" si="36"/>
        <v>139236.66693257642</v>
      </c>
      <c r="N73" s="29">
        <f t="shared" si="36"/>
        <v>150145.8597867438</v>
      </c>
      <c r="O73" s="29">
        <f t="shared" si="36"/>
        <v>161909.78790103516</v>
      </c>
      <c r="P73" s="29">
        <f t="shared" si="36"/>
        <v>174595.41978308125</v>
      </c>
      <c r="Q73" s="29">
        <f t="shared" si="36"/>
        <v>188274.9709230857</v>
      </c>
      <c r="R73" s="29">
        <f t="shared" si="36"/>
        <v>203026.31489490945</v>
      </c>
      <c r="S73" s="29">
        <f t="shared" si="36"/>
        <v>218933.42666692563</v>
      </c>
      <c r="T73" s="29">
        <f t="shared" si="36"/>
        <v>236086.86064627924</v>
      </c>
      <c r="U73" s="29">
        <f t="shared" si="36"/>
        <v>254584.2661779152</v>
      </c>
      <c r="V73" s="29">
        <f t="shared" si="36"/>
        <v>274530.94343295495</v>
      </c>
      <c r="W73" s="29">
        <f t="shared" si="36"/>
        <v>296040.4428509269</v>
      </c>
      <c r="X73" s="29">
        <f t="shared" si="36"/>
        <v>319235.21154829697</v>
      </c>
      <c r="Y73" s="29">
        <f t="shared" si="36"/>
        <v>344247.2903731061</v>
      </c>
      <c r="Z73" s="29">
        <f t="shared" si="36"/>
        <v>371219.06557383883</v>
      </c>
      <c r="AA73" s="29">
        <f t="shared" si="36"/>
        <v>400304.0793615492</v>
      </c>
      <c r="AB73" s="29">
        <f t="shared" si="36"/>
        <v>431667.90397952654</v>
      </c>
      <c r="AC73" s="29">
        <f t="shared" si="36"/>
        <v>465489.08425632236</v>
      </c>
      <c r="AD73" s="29">
        <f t="shared" si="36"/>
        <v>501960.1540078052</v>
      </c>
      <c r="AE73" s="29">
        <f t="shared" si="36"/>
        <v>541288.7320743167</v>
      </c>
      <c r="AF73" s="29">
        <f t="shared" si="36"/>
        <v>583698.7042323395</v>
      </c>
      <c r="AG73" s="29">
        <f t="shared" si="36"/>
        <v>629431.4977089432</v>
      </c>
      <c r="AH73" s="29">
        <f t="shared" si="36"/>
        <v>678747.4555544389</v>
      </c>
      <c r="AI73" s="29">
        <f t="shared" si="36"/>
        <v>731927.3186971293</v>
      </c>
      <c r="AJ73" s="29">
        <f t="shared" si="36"/>
        <v>789273.8241170495</v>
      </c>
      <c r="AK73" s="29">
        <f t="shared" si="36"/>
        <v>851113.4282366203</v>
      </c>
      <c r="AL73" s="29">
        <f aca="true" t="shared" si="37" ref="AL73:AS73">$E$73*AL$24*AL19</f>
        <v>917798.1653389593</v>
      </c>
      <c r="AM73" s="29">
        <f t="shared" si="37"/>
        <v>989707.651593267</v>
      </c>
      <c r="AN73" s="29">
        <f t="shared" si="37"/>
        <v>1067251.2460955994</v>
      </c>
      <c r="AO73" s="29">
        <f t="shared" si="37"/>
        <v>1150870.3812271897</v>
      </c>
      <c r="AP73" s="29">
        <f t="shared" si="37"/>
        <v>1241041.07559634</v>
      </c>
      <c r="AQ73" s="29">
        <f t="shared" si="37"/>
        <v>1338276.6438693132</v>
      </c>
      <c r="AR73" s="29">
        <f t="shared" si="37"/>
        <v>1443130.6189164738</v>
      </c>
      <c r="AS73" s="29">
        <f t="shared" si="37"/>
        <v>1556199.9029085794</v>
      </c>
    </row>
    <row r="74" spans="3:45" ht="12.75">
      <c r="C74" s="7" t="str">
        <f>CONCATENATE("Maint. Cost/MGTM @ ",E20)</f>
        <v>Maint. Cost/MGTM @ 0.08</v>
      </c>
      <c r="D74" s="28">
        <v>0.0112</v>
      </c>
      <c r="E74" s="28">
        <v>0.0112</v>
      </c>
      <c r="F74" s="32">
        <f t="shared" si="36"/>
        <v>82117.44340799999</v>
      </c>
      <c r="G74" s="29">
        <f t="shared" si="36"/>
        <v>93121.18082467199</v>
      </c>
      <c r="H74" s="29">
        <f t="shared" si="36"/>
        <v>105599.41905517803</v>
      </c>
      <c r="I74" s="29">
        <f t="shared" si="36"/>
        <v>119749.74120857191</v>
      </c>
      <c r="J74" s="29">
        <f t="shared" si="36"/>
        <v>135796.20653052058</v>
      </c>
      <c r="K74" s="29">
        <f t="shared" si="36"/>
        <v>153992.89820561034</v>
      </c>
      <c r="L74" s="29">
        <f t="shared" si="36"/>
        <v>174627.94656516213</v>
      </c>
      <c r="M74" s="29">
        <f t="shared" si="36"/>
        <v>198028.09140489387</v>
      </c>
      <c r="N74" s="29">
        <f t="shared" si="36"/>
        <v>224563.85565314963</v>
      </c>
      <c r="O74" s="29">
        <f t="shared" si="36"/>
        <v>254655.4123106717</v>
      </c>
      <c r="P74" s="29">
        <f t="shared" si="36"/>
        <v>288779.2375603017</v>
      </c>
      <c r="Q74" s="29">
        <f t="shared" si="36"/>
        <v>327475.65539338224</v>
      </c>
      <c r="R74" s="29">
        <f t="shared" si="36"/>
        <v>371357.39321609534</v>
      </c>
      <c r="S74" s="29">
        <f t="shared" si="36"/>
        <v>421119.28390705225</v>
      </c>
      <c r="T74" s="29">
        <f t="shared" si="36"/>
        <v>477549.2679505972</v>
      </c>
      <c r="U74" s="29">
        <f t="shared" si="36"/>
        <v>541540.8698559772</v>
      </c>
      <c r="V74" s="29">
        <f t="shared" si="36"/>
        <v>614107.3464166784</v>
      </c>
      <c r="W74" s="29">
        <f t="shared" si="36"/>
        <v>696397.7308365132</v>
      </c>
      <c r="X74" s="29">
        <f t="shared" si="36"/>
        <v>789715.0267686058</v>
      </c>
      <c r="Y74" s="29">
        <f t="shared" si="36"/>
        <v>895536.8403555991</v>
      </c>
      <c r="Z74" s="29">
        <f t="shared" si="36"/>
        <v>1015538.7769632492</v>
      </c>
      <c r="AA74" s="29">
        <f t="shared" si="36"/>
        <v>1151620.9730763244</v>
      </c>
      <c r="AB74" s="29">
        <f t="shared" si="36"/>
        <v>1209202.0217301408</v>
      </c>
      <c r="AC74" s="29">
        <f t="shared" si="36"/>
        <v>1269662.1228166476</v>
      </c>
      <c r="AD74" s="29">
        <f t="shared" si="36"/>
        <v>1333145.22895748</v>
      </c>
      <c r="AE74" s="29">
        <f t="shared" si="36"/>
        <v>1399802.4904053542</v>
      </c>
      <c r="AF74" s="29">
        <f t="shared" si="36"/>
        <v>1469792.614925622</v>
      </c>
      <c r="AG74" s="29">
        <f t="shared" si="36"/>
        <v>1543282.245671903</v>
      </c>
      <c r="AH74" s="29">
        <f t="shared" si="36"/>
        <v>1620446.357955498</v>
      </c>
      <c r="AI74" s="29">
        <f t="shared" si="36"/>
        <v>1701468.6758532731</v>
      </c>
      <c r="AJ74" s="29">
        <f t="shared" si="36"/>
        <v>1786542.1096459369</v>
      </c>
      <c r="AK74" s="29">
        <f t="shared" si="36"/>
        <v>1875869.2151282337</v>
      </c>
      <c r="AL74" s="29">
        <f aca="true" t="shared" si="38" ref="AL74:AS74">$E$73*AL$24*AL20</f>
        <v>1969662.6758846452</v>
      </c>
      <c r="AM74" s="29">
        <f t="shared" si="38"/>
        <v>2068145.8096788777</v>
      </c>
      <c r="AN74" s="29">
        <f t="shared" si="38"/>
        <v>2171553.1001628214</v>
      </c>
      <c r="AO74" s="29">
        <f t="shared" si="38"/>
        <v>2280130.7551709623</v>
      </c>
      <c r="AP74" s="29">
        <f t="shared" si="38"/>
        <v>2394137.29292951</v>
      </c>
      <c r="AQ74" s="29">
        <f t="shared" si="38"/>
        <v>2513844.157575986</v>
      </c>
      <c r="AR74" s="29">
        <f t="shared" si="38"/>
        <v>2639536.3654547855</v>
      </c>
      <c r="AS74" s="29">
        <f t="shared" si="38"/>
        <v>2771513.1837275242</v>
      </c>
    </row>
    <row r="75" spans="3:45" ht="12.75">
      <c r="C75" s="3" t="str">
        <f>CONCATENATE("Electric Locomotive Spare Parts Inventory @ ",E19)</f>
        <v>Electric Locomotive Spare Parts Inventory @ 0.027</v>
      </c>
      <c r="D75" s="27">
        <v>300</v>
      </c>
      <c r="E75" s="27">
        <v>300</v>
      </c>
      <c r="F75" s="27">
        <f>$E$75*F$24*F43</f>
        <v>17100</v>
      </c>
      <c r="G75" s="27">
        <f aca="true" t="shared" si="39" ref="G75:AK76">$E$75*G$24*G43</f>
        <v>18270</v>
      </c>
      <c r="H75" s="27">
        <f t="shared" si="39"/>
        <v>19845</v>
      </c>
      <c r="I75" s="27">
        <f t="shared" si="39"/>
        <v>21531.825</v>
      </c>
      <c r="J75" s="27">
        <f t="shared" si="39"/>
        <v>22973.068125000005</v>
      </c>
      <c r="K75" s="27">
        <f t="shared" si="39"/>
        <v>24887.490468750006</v>
      </c>
      <c r="L75" s="27">
        <f t="shared" si="39"/>
        <v>26935.922376562507</v>
      </c>
      <c r="M75" s="27">
        <f t="shared" si="39"/>
        <v>28704.848622187506</v>
      </c>
      <c r="N75" s="27">
        <f t="shared" si="39"/>
        <v>31026.564319570323</v>
      </c>
      <c r="O75" s="27">
        <f t="shared" si="39"/>
        <v>33508.68946513595</v>
      </c>
      <c r="P75" s="27">
        <f t="shared" si="39"/>
        <v>36161.46071445921</v>
      </c>
      <c r="Q75" s="27">
        <f t="shared" si="39"/>
        <v>38995.73736505196</v>
      </c>
      <c r="R75" s="27">
        <f t="shared" si="39"/>
        <v>42023.038028917836</v>
      </c>
      <c r="S75" s="27">
        <f t="shared" si="39"/>
        <v>45255.579415757675</v>
      </c>
      <c r="T75" s="27">
        <f t="shared" si="39"/>
        <v>48706.3173462092</v>
      </c>
      <c r="U75" s="27">
        <f t="shared" si="39"/>
        <v>53012.66857498989</v>
      </c>
      <c r="V75" s="27">
        <f t="shared" si="39"/>
        <v>56973.02675676856</v>
      </c>
      <c r="W75" s="27">
        <f t="shared" si="39"/>
        <v>61196.8890852876</v>
      </c>
      <c r="X75" s="27">
        <f t="shared" si="39"/>
        <v>66422.69084987395</v>
      </c>
      <c r="Y75" s="27">
        <f t="shared" si="39"/>
        <v>71259.99550959303</v>
      </c>
      <c r="Z75" s="27">
        <f t="shared" si="39"/>
        <v>77210.96321970267</v>
      </c>
      <c r="AA75" s="27">
        <f t="shared" si="39"/>
        <v>82743.08893492878</v>
      </c>
      <c r="AB75" s="27">
        <f t="shared" si="39"/>
        <v>89512.97802960477</v>
      </c>
      <c r="AC75" s="27">
        <f t="shared" si="39"/>
        <v>96752.99831141104</v>
      </c>
      <c r="AD75" s="27">
        <f t="shared" si="39"/>
        <v>103525.70819320981</v>
      </c>
      <c r="AE75" s="27">
        <f t="shared" si="39"/>
        <v>111749.71304967975</v>
      </c>
      <c r="AF75" s="27">
        <f t="shared" si="39"/>
        <v>120537.30412131367</v>
      </c>
      <c r="AG75" s="27">
        <f t="shared" si="39"/>
        <v>129924.28001748674</v>
      </c>
      <c r="AH75" s="27">
        <f t="shared" si="39"/>
        <v>139948.61024297387</v>
      </c>
      <c r="AI75" s="27">
        <f t="shared" si="39"/>
        <v>151885.40346958046</v>
      </c>
      <c r="AJ75" s="27">
        <f t="shared" si="39"/>
        <v>163369.4217806951</v>
      </c>
      <c r="AK75" s="27">
        <f t="shared" si="39"/>
        <v>175622.12841424724</v>
      </c>
      <c r="AL75" s="27">
        <f aca="true" t="shared" si="40" ref="AL75:AS75">$E$75*AL$24*AL43</f>
        <v>190121.1645972839</v>
      </c>
      <c r="AM75" s="27">
        <f t="shared" si="40"/>
        <v>204130.09251497852</v>
      </c>
      <c r="AN75" s="27">
        <f t="shared" si="40"/>
        <v>220640.61470369002</v>
      </c>
      <c r="AO75" s="27">
        <f t="shared" si="40"/>
        <v>238291.8638799852</v>
      </c>
      <c r="AP75" s="27">
        <f t="shared" si="40"/>
        <v>257156.63643715074</v>
      </c>
      <c r="AQ75" s="27">
        <f t="shared" si="40"/>
        <v>277312.1565903328</v>
      </c>
      <c r="AR75" s="27">
        <f t="shared" si="40"/>
        <v>298840.33716774016</v>
      </c>
      <c r="AS75" s="27">
        <f t="shared" si="40"/>
        <v>321828.0554114125</v>
      </c>
    </row>
    <row r="76" spans="3:45" ht="12.75">
      <c r="C76" s="3" t="str">
        <f>CONCATENATE("Electric Locomotive Spare Parts Inventory @ ",E20)</f>
        <v>Electric Locomotive Spare Parts Inventory @ 0.08</v>
      </c>
      <c r="D76" s="27">
        <v>300</v>
      </c>
      <c r="E76" s="27">
        <v>300</v>
      </c>
      <c r="F76" s="27">
        <f>$E$75*F$24*F44</f>
        <v>17100</v>
      </c>
      <c r="G76" s="27">
        <f t="shared" si="39"/>
        <v>19215</v>
      </c>
      <c r="H76" s="27">
        <f t="shared" si="39"/>
        <v>21829.5</v>
      </c>
      <c r="I76" s="27">
        <f t="shared" si="39"/>
        <v>25004.7</v>
      </c>
      <c r="J76" s="27">
        <f t="shared" si="39"/>
        <v>28078.194375000006</v>
      </c>
      <c r="K76" s="27">
        <f t="shared" si="39"/>
        <v>31779.41090625001</v>
      </c>
      <c r="L76" s="27">
        <f t="shared" si="39"/>
        <v>36182.58229687501</v>
      </c>
      <c r="M76" s="27">
        <f t="shared" si="39"/>
        <v>40946.62229929688</v>
      </c>
      <c r="N76" s="27">
        <f t="shared" si="39"/>
        <v>46539.84647935549</v>
      </c>
      <c r="O76" s="27">
        <f t="shared" si="39"/>
        <v>52590.0265216717</v>
      </c>
      <c r="P76" s="27">
        <f t="shared" si="39"/>
        <v>59617.54334005438</v>
      </c>
      <c r="Q76" s="27">
        <f t="shared" si="39"/>
        <v>67729.43858140604</v>
      </c>
      <c r="R76" s="27">
        <f t="shared" si="39"/>
        <v>77042.23638634937</v>
      </c>
      <c r="S76" s="27">
        <f t="shared" si="39"/>
        <v>87116.99037533352</v>
      </c>
      <c r="T76" s="27">
        <f t="shared" si="39"/>
        <v>98600.59365208204</v>
      </c>
      <c r="U76" s="27">
        <f t="shared" si="39"/>
        <v>111638.44323439048</v>
      </c>
      <c r="V76" s="27">
        <f t="shared" si="39"/>
        <v>127043.30104382873</v>
      </c>
      <c r="W76" s="27">
        <f t="shared" si="39"/>
        <v>143709.5485261248</v>
      </c>
      <c r="X76" s="27">
        <f t="shared" si="39"/>
        <v>163168.7840442556</v>
      </c>
      <c r="Y76" s="27">
        <f t="shared" si="39"/>
        <v>184972.7543014968</v>
      </c>
      <c r="Z76" s="27">
        <f t="shared" si="39"/>
        <v>209345.18893589484</v>
      </c>
      <c r="AA76" s="27">
        <f t="shared" si="39"/>
        <v>237364.01270221992</v>
      </c>
      <c r="AB76" s="27">
        <f t="shared" si="39"/>
        <v>249232.2133373309</v>
      </c>
      <c r="AC76" s="27">
        <f t="shared" si="39"/>
        <v>261693.82400419746</v>
      </c>
      <c r="AD76" s="27">
        <f t="shared" si="39"/>
        <v>274778.51520440733</v>
      </c>
      <c r="AE76" s="27">
        <f t="shared" si="39"/>
        <v>288517.4409646277</v>
      </c>
      <c r="AF76" s="27">
        <f t="shared" si="39"/>
        <v>302943.31301285914</v>
      </c>
      <c r="AG76" s="27">
        <f t="shared" si="39"/>
        <v>318090.478663502</v>
      </c>
      <c r="AH76" s="27">
        <f t="shared" si="39"/>
        <v>333995.00259667716</v>
      </c>
      <c r="AI76" s="27">
        <f t="shared" si="39"/>
        <v>350694.752726511</v>
      </c>
      <c r="AJ76" s="27">
        <f t="shared" si="39"/>
        <v>368229.4903628366</v>
      </c>
      <c r="AK76" s="27">
        <f t="shared" si="39"/>
        <v>386640.96488097846</v>
      </c>
      <c r="AL76" s="27">
        <f aca="true" t="shared" si="41" ref="AL76:AS76">$E$75*AL$24*AL44</f>
        <v>405973.0131250273</v>
      </c>
      <c r="AM76" s="27">
        <f t="shared" si="41"/>
        <v>426271.66378127865</v>
      </c>
      <c r="AN76" s="27">
        <f t="shared" si="41"/>
        <v>447585.2469703426</v>
      </c>
      <c r="AO76" s="27">
        <f t="shared" si="41"/>
        <v>469964.5093188597</v>
      </c>
      <c r="AP76" s="27">
        <f t="shared" si="41"/>
        <v>493462.7347848028</v>
      </c>
      <c r="AQ76" s="27">
        <f t="shared" si="41"/>
        <v>518135.87152404286</v>
      </c>
      <c r="AR76" s="27">
        <f t="shared" si="41"/>
        <v>544042.6651002449</v>
      </c>
      <c r="AS76" s="27">
        <f t="shared" si="41"/>
        <v>571244.7983552571</v>
      </c>
    </row>
    <row r="77" spans="3:45" ht="12.75">
      <c r="C77" s="3" t="s">
        <v>22</v>
      </c>
      <c r="D77" s="27">
        <v>1390000</v>
      </c>
      <c r="E77" s="27">
        <v>1390000</v>
      </c>
      <c r="F77" s="27">
        <f>$E$77*F24</f>
        <v>1390000</v>
      </c>
      <c r="G77" s="27">
        <f aca="true" t="shared" si="42" ref="G77:AK77">$E$77*G24</f>
        <v>1459500</v>
      </c>
      <c r="H77" s="27">
        <f t="shared" si="42"/>
        <v>1532475</v>
      </c>
      <c r="I77" s="27">
        <f t="shared" si="42"/>
        <v>1609098.7500000002</v>
      </c>
      <c r="J77" s="27">
        <f t="shared" si="42"/>
        <v>1689553.6875000002</v>
      </c>
      <c r="K77" s="27">
        <f t="shared" si="42"/>
        <v>1774031.3718750004</v>
      </c>
      <c r="L77" s="27">
        <f t="shared" si="42"/>
        <v>1862732.9404687507</v>
      </c>
      <c r="M77" s="27">
        <f t="shared" si="42"/>
        <v>1955869.5874921882</v>
      </c>
      <c r="N77" s="27">
        <f t="shared" si="42"/>
        <v>2053663.0668667976</v>
      </c>
      <c r="O77" s="27">
        <f t="shared" si="42"/>
        <v>2156346.220210138</v>
      </c>
      <c r="P77" s="27">
        <f t="shared" si="42"/>
        <v>2264163.5312206442</v>
      </c>
      <c r="Q77" s="27">
        <f t="shared" si="42"/>
        <v>2377371.7077816767</v>
      </c>
      <c r="R77" s="27">
        <f t="shared" si="42"/>
        <v>2496240.2931707604</v>
      </c>
      <c r="S77" s="27">
        <f t="shared" si="42"/>
        <v>2621052.3078292985</v>
      </c>
      <c r="T77" s="27">
        <f t="shared" si="42"/>
        <v>2752104.9232207634</v>
      </c>
      <c r="U77" s="27">
        <f t="shared" si="42"/>
        <v>2889710.169381802</v>
      </c>
      <c r="V77" s="27">
        <f t="shared" si="42"/>
        <v>3034195.6778508923</v>
      </c>
      <c r="W77" s="27">
        <f t="shared" si="42"/>
        <v>3185905.4617434368</v>
      </c>
      <c r="X77" s="27">
        <f t="shared" si="42"/>
        <v>3345200.7348306086</v>
      </c>
      <c r="Y77" s="27">
        <f t="shared" si="42"/>
        <v>3512460.7715721386</v>
      </c>
      <c r="Z77" s="27">
        <f t="shared" si="42"/>
        <v>3688083.810150746</v>
      </c>
      <c r="AA77" s="27">
        <f t="shared" si="42"/>
        <v>3872488.000658283</v>
      </c>
      <c r="AB77" s="27">
        <f t="shared" si="42"/>
        <v>4066112.400691197</v>
      </c>
      <c r="AC77" s="27">
        <f t="shared" si="42"/>
        <v>4269418.020725757</v>
      </c>
      <c r="AD77" s="27">
        <f t="shared" si="42"/>
        <v>4482888.921762045</v>
      </c>
      <c r="AE77" s="27">
        <f t="shared" si="42"/>
        <v>4707033.367850147</v>
      </c>
      <c r="AF77" s="27">
        <f t="shared" si="42"/>
        <v>4942385.036242655</v>
      </c>
      <c r="AG77" s="27">
        <f t="shared" si="42"/>
        <v>5189504.288054787</v>
      </c>
      <c r="AH77" s="27">
        <f t="shared" si="42"/>
        <v>5448979.5024575265</v>
      </c>
      <c r="AI77" s="27">
        <f t="shared" si="42"/>
        <v>5721428.477580403</v>
      </c>
      <c r="AJ77" s="27">
        <f t="shared" si="42"/>
        <v>6007499.901459423</v>
      </c>
      <c r="AK77" s="27">
        <f t="shared" si="42"/>
        <v>6307874.896532394</v>
      </c>
      <c r="AL77" s="27">
        <f aca="true" t="shared" si="43" ref="AL77:AS77">$E$77*AL24</f>
        <v>6623268.6413590135</v>
      </c>
      <c r="AM77" s="27">
        <f t="shared" si="43"/>
        <v>6954432.073426965</v>
      </c>
      <c r="AN77" s="27">
        <f t="shared" si="43"/>
        <v>7302153.677098312</v>
      </c>
      <c r="AO77" s="27">
        <f t="shared" si="43"/>
        <v>7667261.360953228</v>
      </c>
      <c r="AP77" s="27">
        <f t="shared" si="43"/>
        <v>8050624.42900089</v>
      </c>
      <c r="AQ77" s="27">
        <f t="shared" si="43"/>
        <v>8453155.650450934</v>
      </c>
      <c r="AR77" s="27">
        <f t="shared" si="43"/>
        <v>8875813.43297348</v>
      </c>
      <c r="AS77" s="27">
        <f t="shared" si="43"/>
        <v>9319604.104622154</v>
      </c>
    </row>
    <row r="78" spans="3:45" ht="12.75">
      <c r="C78" s="3" t="s">
        <v>23</v>
      </c>
      <c r="D78" s="27">
        <v>1000000</v>
      </c>
      <c r="E78" s="27">
        <v>1000000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3:45" ht="12.75">
      <c r="C79" s="3" t="s">
        <v>24</v>
      </c>
      <c r="D79" s="27">
        <v>3540000</v>
      </c>
      <c r="E79" s="25">
        <v>3540000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3:45" ht="12.75">
      <c r="C80" s="3" t="s">
        <v>25</v>
      </c>
      <c r="D80" s="30"/>
      <c r="E80" s="30">
        <v>56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3:45" ht="12.75">
      <c r="C81" s="3" t="s">
        <v>26</v>
      </c>
      <c r="D81" s="21"/>
      <c r="E81" s="20">
        <v>0.2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3:45" ht="12.75">
      <c r="C82" s="3" t="s">
        <v>27</v>
      </c>
      <c r="D82" s="27"/>
      <c r="E82" s="27">
        <f>E112*E80-(E112*E80*E81)</f>
        <v>11540480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3:45" ht="12.75">
      <c r="C83" s="7" t="s">
        <v>85</v>
      </c>
      <c r="D83" s="18">
        <f>D58+$D$67+$D$78-$D$79-$D$82</f>
        <v>25776000</v>
      </c>
      <c r="E83" s="18">
        <f>E58+$E$67+$E$78-$E$79-$E$82</f>
        <v>18284520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3:45" ht="12.75">
      <c r="C84" s="7" t="str">
        <f>CONCATENATE("Total Capital Cost 30 years @ ",E19)</f>
        <v>Total Capital Cost 30 years @ 0.027</v>
      </c>
      <c r="D84" s="18"/>
      <c r="E84" s="18">
        <f>E60+E69+E78-E79-E82</f>
        <v>23781751.624938175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3:45" ht="12.75">
      <c r="C85" s="7" t="str">
        <f>CONCATENATE("Total Capital Cost 30 years @ ",E20)</f>
        <v>Total Capital Cost 30 years @ 0.08</v>
      </c>
      <c r="D85" s="18">
        <f>D59+$D$67+$D$78-$D$79-$D$82</f>
        <v>25776000</v>
      </c>
      <c r="E85" s="49">
        <f>E61+E70+E78-E79-E82</f>
        <v>41946325.30714636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3:45" ht="12.75">
      <c r="C86" s="3" t="str">
        <f>CONCATENATE("Total Operating Cost @ ",E19)</f>
        <v>Total Operating Cost @ 0.027</v>
      </c>
      <c r="E86" s="18">
        <f>SUM(F86:AK86)</f>
        <v>364418858.41879296</v>
      </c>
      <c r="F86" s="18">
        <f>F41+F63+F65+F$72+F73+F75+F$77+F25</f>
        <v>6621124.6748772655</v>
      </c>
      <c r="G86" s="18">
        <f>G41+G63+G65+G$72+G73+G75+G$77+G25</f>
        <v>6777201.367550879</v>
      </c>
      <c r="H86" s="18">
        <f aca="true" t="shared" si="44" ref="H86:AK86">H41+H63+H65+H$72+H73+H75+H$77+H25</f>
        <v>6980878.495826454</v>
      </c>
      <c r="I86" s="18">
        <f t="shared" si="44"/>
        <v>7189387.243166855</v>
      </c>
      <c r="J86" s="18">
        <f t="shared" si="44"/>
        <v>7390105.838833979</v>
      </c>
      <c r="K86" s="18">
        <f t="shared" si="44"/>
        <v>7640923.853399513</v>
      </c>
      <c r="L86" s="18">
        <f t="shared" si="44"/>
        <v>8107457.134984513</v>
      </c>
      <c r="M86" s="18">
        <f t="shared" si="44"/>
        <v>8297012.044753354</v>
      </c>
      <c r="N86" s="18">
        <f t="shared" si="44"/>
        <v>8806001.12123059</v>
      </c>
      <c r="O86" s="18">
        <f t="shared" si="44"/>
        <v>9494937.202082789</v>
      </c>
      <c r="P86" s="18">
        <f t="shared" si="44"/>
        <v>9589424.219963912</v>
      </c>
      <c r="Q86" s="18">
        <f t="shared" si="44"/>
        <v>9883465.203884318</v>
      </c>
      <c r="R86" s="18">
        <f t="shared" si="44"/>
        <v>10250182.201973284</v>
      </c>
      <c r="S86" s="18">
        <f t="shared" si="44"/>
        <v>10411224.051530266</v>
      </c>
      <c r="T86" s="18">
        <f t="shared" si="44"/>
        <v>10610122.373310627</v>
      </c>
      <c r="U86" s="18">
        <f t="shared" si="44"/>
        <v>10902041.617750328</v>
      </c>
      <c r="V86" s="18">
        <f t="shared" si="44"/>
        <v>11157141.070422053</v>
      </c>
      <c r="W86" s="18">
        <f t="shared" si="44"/>
        <v>11466858.961639727</v>
      </c>
      <c r="X86" s="18">
        <f t="shared" si="44"/>
        <v>11813639.862820696</v>
      </c>
      <c r="Y86" s="18">
        <f t="shared" si="44"/>
        <v>12139881.80374044</v>
      </c>
      <c r="Z86" s="18">
        <f t="shared" si="44"/>
        <v>12470827.952521317</v>
      </c>
      <c r="AA86" s="18">
        <f t="shared" si="44"/>
        <v>12761835.64321863</v>
      </c>
      <c r="AB86" s="18">
        <f t="shared" si="44"/>
        <v>13136415.980445579</v>
      </c>
      <c r="AC86" s="18">
        <f t="shared" si="44"/>
        <v>13527907.606872754</v>
      </c>
      <c r="AD86" s="18">
        <f t="shared" si="44"/>
        <v>13907924.099849947</v>
      </c>
      <c r="AE86" s="18">
        <f t="shared" si="44"/>
        <v>14347461.297501776</v>
      </c>
      <c r="AF86" s="18">
        <f t="shared" si="44"/>
        <v>14922396.002499511</v>
      </c>
      <c r="AG86" s="18">
        <f t="shared" si="44"/>
        <v>15581749.932134248</v>
      </c>
      <c r="AH86" s="18">
        <f t="shared" si="44"/>
        <v>16055800.846310327</v>
      </c>
      <c r="AI86" s="18">
        <f t="shared" si="44"/>
        <v>16746376.22613608</v>
      </c>
      <c r="AJ86" s="18">
        <f t="shared" si="44"/>
        <v>17357299.52943271</v>
      </c>
      <c r="AK86" s="18">
        <f t="shared" si="44"/>
        <v>18073852.95812824</v>
      </c>
      <c r="AL86" s="18">
        <f aca="true" t="shared" si="45" ref="AL86:AS86">AL41+AL63+AL65+AL$72+AL73+AL75+AL$77+AL25</f>
        <v>19417061.150469042</v>
      </c>
      <c r="AM86" s="18">
        <f t="shared" si="45"/>
        <v>20775823.132457748</v>
      </c>
      <c r="AN86" s="18">
        <f t="shared" si="45"/>
        <v>22245952.472373024</v>
      </c>
      <c r="AO86" s="18">
        <f t="shared" si="45"/>
        <v>23784155.598640103</v>
      </c>
      <c r="AP86" s="18">
        <f t="shared" si="45"/>
        <v>25393632.474396996</v>
      </c>
      <c r="AQ86" s="18">
        <f t="shared" si="45"/>
        <v>27077736.172285184</v>
      </c>
      <c r="AR86" s="18">
        <f t="shared" si="45"/>
        <v>28839980.785357695</v>
      </c>
      <c r="AS86" s="18">
        <f t="shared" si="45"/>
        <v>30684049.789168622</v>
      </c>
    </row>
    <row r="87" spans="3:45" ht="12.75">
      <c r="C87" s="3" t="str">
        <f>CONCATENATE("Total Operating Cost @ ",E20)</f>
        <v>Total Operating Cost @ 0.08</v>
      </c>
      <c r="E87" s="18">
        <f>SUM(F87:AK87)</f>
        <v>600741594.1080874</v>
      </c>
      <c r="F87" s="18">
        <f>F42+F64+F66+F$72+F74+F76+F$77+F25</f>
        <v>6621124.6748772655</v>
      </c>
      <c r="G87" s="18">
        <f>G42+G64+G66+G$72+G74+G76+G$77+G25</f>
        <v>7020701.841224323</v>
      </c>
      <c r="H87" s="18">
        <f aca="true" t="shared" si="46" ref="H87:AK87">H42+H64+H66+H$72+H74+H76+H$77+H25</f>
        <v>7477835.196867811</v>
      </c>
      <c r="I87" s="18">
        <f t="shared" si="46"/>
        <v>7993601.797726784</v>
      </c>
      <c r="J87" s="18">
        <f t="shared" si="46"/>
        <v>8519867.136561513</v>
      </c>
      <c r="K87" s="18">
        <f t="shared" si="46"/>
        <v>9112879.200539965</v>
      </c>
      <c r="L87" s="18">
        <f t="shared" si="46"/>
        <v>9983084.066949181</v>
      </c>
      <c r="M87" s="18">
        <f t="shared" si="46"/>
        <v>10625766.904318057</v>
      </c>
      <c r="N87" s="18">
        <f t="shared" si="46"/>
        <v>11737876.121648945</v>
      </c>
      <c r="O87" s="18">
        <f t="shared" si="46"/>
        <v>12898884.75561965</v>
      </c>
      <c r="P87" s="18">
        <f t="shared" si="46"/>
        <v>13455873.447598482</v>
      </c>
      <c r="Q87" s="18">
        <f t="shared" si="46"/>
        <v>14392318.779455269</v>
      </c>
      <c r="R87" s="18">
        <f t="shared" si="46"/>
        <v>15412639.466114996</v>
      </c>
      <c r="S87" s="18">
        <f t="shared" si="46"/>
        <v>16174325.98461899</v>
      </c>
      <c r="T87" s="18">
        <f t="shared" si="46"/>
        <v>17050752.826840654</v>
      </c>
      <c r="U87" s="18">
        <f t="shared" si="46"/>
        <v>18074911.7842145</v>
      </c>
      <c r="V87" s="18">
        <f t="shared" si="46"/>
        <v>19210495.788299695</v>
      </c>
      <c r="W87" s="18">
        <f t="shared" si="46"/>
        <v>20481709.26025988</v>
      </c>
      <c r="X87" s="18">
        <f t="shared" si="46"/>
        <v>21841306.950142793</v>
      </c>
      <c r="Y87" s="18">
        <f t="shared" si="46"/>
        <v>23320672.609931733</v>
      </c>
      <c r="Z87" s="18">
        <f t="shared" si="46"/>
        <v>24753398.379212227</v>
      </c>
      <c r="AA87" s="18">
        <f t="shared" si="46"/>
        <v>26291683.294158943</v>
      </c>
      <c r="AB87" s="18">
        <f t="shared" si="46"/>
        <v>26374936.581688832</v>
      </c>
      <c r="AC87" s="18">
        <f t="shared" si="46"/>
        <v>26487053.115176022</v>
      </c>
      <c r="AD87" s="18">
        <f t="shared" si="46"/>
        <v>26669957.565620266</v>
      </c>
      <c r="AE87" s="18">
        <f t="shared" si="46"/>
        <v>26869554.63851418</v>
      </c>
      <c r="AF87" s="18">
        <f t="shared" si="46"/>
        <v>27388574.96207903</v>
      </c>
      <c r="AG87" s="18">
        <f t="shared" si="46"/>
        <v>28076946.900444027</v>
      </c>
      <c r="AH87" s="18">
        <f t="shared" si="46"/>
        <v>28276908.45893351</v>
      </c>
      <c r="AI87" s="18">
        <f t="shared" si="46"/>
        <v>28853946.182728924</v>
      </c>
      <c r="AJ87" s="18">
        <f t="shared" si="46"/>
        <v>29315062.939559925</v>
      </c>
      <c r="AK87" s="18">
        <f t="shared" si="46"/>
        <v>29976942.496161066</v>
      </c>
      <c r="AL87" s="18">
        <f aca="true" t="shared" si="47" ref="AL87:AS87">AL42+AL64+AL66+AL$72+AL74+AL76+AL$77+AL25</f>
        <v>31842449.14661611</v>
      </c>
      <c r="AM87" s="18">
        <f t="shared" si="47"/>
        <v>33732618.40298054</v>
      </c>
      <c r="AN87" s="18">
        <f t="shared" si="47"/>
        <v>35648683.395549856</v>
      </c>
      <c r="AO87" s="18">
        <f t="shared" si="47"/>
        <v>37591938.911134265</v>
      </c>
      <c r="AP87" s="18">
        <f t="shared" si="47"/>
        <v>39563744.47588454</v>
      </c>
      <c r="AQ87" s="18">
        <f t="shared" si="47"/>
        <v>41565527.592258975</v>
      </c>
      <c r="AR87" s="18">
        <f t="shared" si="47"/>
        <v>43598787.13783878</v>
      </c>
      <c r="AS87" s="18">
        <f t="shared" si="47"/>
        <v>45665096.934084214</v>
      </c>
    </row>
    <row r="88" spans="3:45" ht="12.75">
      <c r="C88" s="7" t="s">
        <v>145</v>
      </c>
      <c r="E88" s="48"/>
      <c r="F88" s="78">
        <f>F87/F20</f>
        <v>0.9030553470859874</v>
      </c>
      <c r="G88" s="78">
        <f aca="true" t="shared" si="48" ref="G88:AK88">G87/G20</f>
        <v>0.8866237833500846</v>
      </c>
      <c r="H88" s="78">
        <f t="shared" si="48"/>
        <v>0.8744016760421376</v>
      </c>
      <c r="I88" s="78">
        <f t="shared" si="48"/>
        <v>0.8654736428008923</v>
      </c>
      <c r="J88" s="78">
        <f t="shared" si="48"/>
        <v>0.8541229729780786</v>
      </c>
      <c r="K88" s="78">
        <f t="shared" si="48"/>
        <v>0.8459008059020341</v>
      </c>
      <c r="L88" s="78">
        <f t="shared" si="48"/>
        <v>0.8580345944280884</v>
      </c>
      <c r="M88" s="78">
        <f t="shared" si="48"/>
        <v>0.8456226344234932</v>
      </c>
      <c r="N88" s="78">
        <f t="shared" si="48"/>
        <v>0.8649322302956144</v>
      </c>
      <c r="O88" s="78">
        <f t="shared" si="48"/>
        <v>0.8800775973232463</v>
      </c>
      <c r="P88" s="78">
        <f t="shared" si="48"/>
        <v>0.8500744083844038</v>
      </c>
      <c r="Q88" s="78">
        <f t="shared" si="48"/>
        <v>0.841883624647083</v>
      </c>
      <c r="R88" s="78">
        <f t="shared" si="48"/>
        <v>0.834784845610766</v>
      </c>
      <c r="S88" s="78">
        <f t="shared" si="48"/>
        <v>0.8111477601809151</v>
      </c>
      <c r="T88" s="78">
        <f t="shared" si="48"/>
        <v>0.7917600501470158</v>
      </c>
      <c r="U88" s="78">
        <f t="shared" si="48"/>
        <v>0.7771457152181362</v>
      </c>
      <c r="V88" s="78">
        <f t="shared" si="48"/>
        <v>0.7647880412264322</v>
      </c>
      <c r="W88" s="78">
        <f t="shared" si="48"/>
        <v>0.7549965316193827</v>
      </c>
      <c r="X88" s="78">
        <f t="shared" si="48"/>
        <v>0.7454759315328823</v>
      </c>
      <c r="Y88" s="78">
        <f t="shared" si="48"/>
        <v>0.7370082013231904</v>
      </c>
      <c r="Z88" s="78">
        <f t="shared" si="48"/>
        <v>0.7243397593122353</v>
      </c>
      <c r="AA88" s="78">
        <f t="shared" si="48"/>
        <v>0.7123642721494905</v>
      </c>
      <c r="AB88" s="78">
        <f t="shared" si="48"/>
        <v>0.7146199918351318</v>
      </c>
      <c r="AC88" s="78">
        <f t="shared" si="48"/>
        <v>0.7176577514140808</v>
      </c>
      <c r="AD88" s="78">
        <f t="shared" si="48"/>
        <v>0.7226134856763509</v>
      </c>
      <c r="AE88" s="78">
        <f t="shared" si="48"/>
        <v>0.7280215009017142</v>
      </c>
      <c r="AF88" s="78">
        <f t="shared" si="48"/>
        <v>0.7420841811375288</v>
      </c>
      <c r="AG88" s="78">
        <f t="shared" si="48"/>
        <v>0.7607353861347554</v>
      </c>
      <c r="AH88" s="78">
        <f t="shared" si="48"/>
        <v>0.7661532769741329</v>
      </c>
      <c r="AI88" s="78">
        <f t="shared" si="48"/>
        <v>0.7817879190590558</v>
      </c>
      <c r="AJ88" s="78">
        <f t="shared" si="48"/>
        <v>0.7942817217258795</v>
      </c>
      <c r="AK88" s="78">
        <f t="shared" si="48"/>
        <v>0.8122151245937571</v>
      </c>
      <c r="AL88" s="78">
        <f aca="true" t="shared" si="49" ref="AL88:AS88">AL87/AL20</f>
        <v>0.8627603967383017</v>
      </c>
      <c r="AM88" s="78">
        <f t="shared" si="49"/>
        <v>0.9139738938538909</v>
      </c>
      <c r="AN88" s="78">
        <f t="shared" si="49"/>
        <v>0.9658890271890774</v>
      </c>
      <c r="AO88" s="78">
        <f t="shared" si="49"/>
        <v>1.0185408785548404</v>
      </c>
      <c r="AP88" s="78">
        <f t="shared" si="49"/>
        <v>1.071966283852709</v>
      </c>
      <c r="AQ88" s="78">
        <f t="shared" si="49"/>
        <v>1.1262039207792889</v>
      </c>
      <c r="AR88" s="78">
        <f t="shared" si="49"/>
        <v>1.1812944009160151</v>
      </c>
      <c r="AS88" s="78">
        <f t="shared" si="49"/>
        <v>1.2372803664233951</v>
      </c>
    </row>
    <row r="89" ht="12.75">
      <c r="C89" s="3"/>
    </row>
    <row r="90" ht="13.5" thickBot="1">
      <c r="C90" s="5" t="s">
        <v>28</v>
      </c>
    </row>
    <row r="91" spans="3:45" ht="13.5" thickTop="1">
      <c r="C91" s="3" t="str">
        <f>CONCATENATE("Diesel Fuel Consumption @ ",E19)</f>
        <v>Diesel Fuel Consumption @ 0.027</v>
      </c>
      <c r="D91" s="19">
        <v>14869432</v>
      </c>
      <c r="E91" s="19">
        <f>E18/$D$18*D91</f>
        <v>15612903.600000001</v>
      </c>
      <c r="F91" s="19">
        <f>F19/$D$18*$D$91</f>
        <v>15612903.600000001</v>
      </c>
      <c r="G91" s="19">
        <f aca="true" t="shared" si="50" ref="G91:AK91">G19/$D$18*$D$91</f>
        <v>16034451.9972</v>
      </c>
      <c r="H91" s="19">
        <f t="shared" si="50"/>
        <v>16467382.201124402</v>
      </c>
      <c r="I91" s="19">
        <f t="shared" si="50"/>
        <v>16912001.52055476</v>
      </c>
      <c r="J91" s="19">
        <f t="shared" si="50"/>
        <v>17368625.561609738</v>
      </c>
      <c r="K91" s="19">
        <f t="shared" si="50"/>
        <v>17837578.4517732</v>
      </c>
      <c r="L91" s="19">
        <f t="shared" si="50"/>
        <v>18319193.069971077</v>
      </c>
      <c r="M91" s="19">
        <f t="shared" si="50"/>
        <v>18813811.282860294</v>
      </c>
      <c r="N91" s="19">
        <f t="shared" si="50"/>
        <v>19321784.187497523</v>
      </c>
      <c r="O91" s="19">
        <f t="shared" si="50"/>
        <v>19843472.360559955</v>
      </c>
      <c r="P91" s="19">
        <f t="shared" si="50"/>
        <v>20379246.114295073</v>
      </c>
      <c r="Q91" s="19">
        <f t="shared" si="50"/>
        <v>20929485.759381037</v>
      </c>
      <c r="R91" s="19">
        <f t="shared" si="50"/>
        <v>21494581.874884326</v>
      </c>
      <c r="S91" s="19">
        <f t="shared" si="50"/>
        <v>22074935.585506205</v>
      </c>
      <c r="T91" s="19">
        <f t="shared" si="50"/>
        <v>22670958.846314874</v>
      </c>
      <c r="U91" s="19">
        <f t="shared" si="50"/>
        <v>23283074.735165372</v>
      </c>
      <c r="V91" s="19">
        <f t="shared" si="50"/>
        <v>23911717.75301484</v>
      </c>
      <c r="W91" s="19">
        <f t="shared" si="50"/>
        <v>24557334.13234624</v>
      </c>
      <c r="X91" s="19">
        <f t="shared" si="50"/>
        <v>25220382.15391959</v>
      </c>
      <c r="Y91" s="19">
        <f t="shared" si="50"/>
        <v>25901332.472075414</v>
      </c>
      <c r="Z91" s="19">
        <f t="shared" si="50"/>
        <v>26600668.448821448</v>
      </c>
      <c r="AA91" s="19">
        <f t="shared" si="50"/>
        <v>27318886.496939626</v>
      </c>
      <c r="AB91" s="19">
        <f t="shared" si="50"/>
        <v>28056496.432357</v>
      </c>
      <c r="AC91" s="19">
        <f t="shared" si="50"/>
        <v>28814021.836030636</v>
      </c>
      <c r="AD91" s="19">
        <f t="shared" si="50"/>
        <v>29592000.42560346</v>
      </c>
      <c r="AE91" s="19">
        <f t="shared" si="50"/>
        <v>30390984.43709475</v>
      </c>
      <c r="AF91" s="19">
        <f t="shared" si="50"/>
        <v>31211541.016896307</v>
      </c>
      <c r="AG91" s="19">
        <f t="shared" si="50"/>
        <v>32054252.62435251</v>
      </c>
      <c r="AH91" s="19">
        <f t="shared" si="50"/>
        <v>32919717.445210032</v>
      </c>
      <c r="AI91" s="19">
        <f t="shared" si="50"/>
        <v>33808549.8162307</v>
      </c>
      <c r="AJ91" s="19">
        <f t="shared" si="50"/>
        <v>34721380.661268935</v>
      </c>
      <c r="AK91" s="19">
        <f t="shared" si="50"/>
        <v>35658857.93912319</v>
      </c>
      <c r="AL91" s="19">
        <f aca="true" t="shared" si="51" ref="AL91:AS91">AL19/$D$18*$D$91</f>
        <v>36621647.10347952</v>
      </c>
      <c r="AM91" s="19">
        <f t="shared" si="51"/>
        <v>37610431.57527347</v>
      </c>
      <c r="AN91" s="19">
        <f t="shared" si="51"/>
        <v>38625913.22780585</v>
      </c>
      <c r="AO91" s="19">
        <f t="shared" si="51"/>
        <v>39668812.88495661</v>
      </c>
      <c r="AP91" s="19">
        <f t="shared" si="51"/>
        <v>40739870.83285045</v>
      </c>
      <c r="AQ91" s="19">
        <f t="shared" si="51"/>
        <v>41839847.345337406</v>
      </c>
      <c r="AR91" s="19">
        <f t="shared" si="51"/>
        <v>42969523.22366151</v>
      </c>
      <c r="AS91" s="19">
        <f t="shared" si="51"/>
        <v>44129700.35070038</v>
      </c>
    </row>
    <row r="92" spans="3:45" ht="12.75">
      <c r="C92" s="3" t="str">
        <f>CONCATENATE("Diesel Fuel Consumption @ ",E20)</f>
        <v>Diesel Fuel Consumption @ 0.08</v>
      </c>
      <c r="D92" s="19">
        <v>14869432</v>
      </c>
      <c r="E92" s="19">
        <f>E18/$D$18*D92</f>
        <v>15612903.600000001</v>
      </c>
      <c r="F92" s="19">
        <f>F20/$D$18*$D$92</f>
        <v>15612903.600000001</v>
      </c>
      <c r="G92" s="19">
        <f aca="true" t="shared" si="52" ref="G92:AK92">G20/$D$18*$D$92</f>
        <v>16861935.888</v>
      </c>
      <c r="H92" s="19">
        <f t="shared" si="52"/>
        <v>18210890.75904</v>
      </c>
      <c r="I92" s="19">
        <f t="shared" si="52"/>
        <v>19667762.019763198</v>
      </c>
      <c r="J92" s="19">
        <f t="shared" si="52"/>
        <v>21241182.981344257</v>
      </c>
      <c r="K92" s="19">
        <f t="shared" si="52"/>
        <v>22940477.619851798</v>
      </c>
      <c r="L92" s="19">
        <f t="shared" si="52"/>
        <v>24775715.82943994</v>
      </c>
      <c r="M92" s="19">
        <f t="shared" si="52"/>
        <v>26757773.095795136</v>
      </c>
      <c r="N92" s="19">
        <f t="shared" si="52"/>
        <v>28898394.94345875</v>
      </c>
      <c r="O92" s="19">
        <f t="shared" si="52"/>
        <v>31210266.53893545</v>
      </c>
      <c r="P92" s="19">
        <f t="shared" si="52"/>
        <v>33707087.86205029</v>
      </c>
      <c r="Q92" s="19">
        <f t="shared" si="52"/>
        <v>36403654.89101431</v>
      </c>
      <c r="R92" s="19">
        <f t="shared" si="52"/>
        <v>39315947.28229545</v>
      </c>
      <c r="S92" s="19">
        <f t="shared" si="52"/>
        <v>42461223.06487909</v>
      </c>
      <c r="T92" s="19">
        <f t="shared" si="52"/>
        <v>45858120.91006942</v>
      </c>
      <c r="U92" s="19">
        <f t="shared" si="52"/>
        <v>49526770.582874976</v>
      </c>
      <c r="V92" s="19">
        <f t="shared" si="52"/>
        <v>53488912.22950497</v>
      </c>
      <c r="W92" s="19">
        <f t="shared" si="52"/>
        <v>57768025.20786537</v>
      </c>
      <c r="X92" s="19">
        <f t="shared" si="52"/>
        <v>62389467.224494606</v>
      </c>
      <c r="Y92" s="19">
        <f t="shared" si="52"/>
        <v>67380624.60245417</v>
      </c>
      <c r="Z92" s="19">
        <f t="shared" si="52"/>
        <v>72771074.57065049</v>
      </c>
      <c r="AA92" s="19">
        <f t="shared" si="52"/>
        <v>78592760.53630254</v>
      </c>
      <c r="AB92" s="19">
        <f t="shared" si="52"/>
        <v>78592760.53630254</v>
      </c>
      <c r="AC92" s="19">
        <f t="shared" si="52"/>
        <v>78592760.53630254</v>
      </c>
      <c r="AD92" s="19">
        <f t="shared" si="52"/>
        <v>78592760.53630254</v>
      </c>
      <c r="AE92" s="19">
        <f t="shared" si="52"/>
        <v>78592760.53630254</v>
      </c>
      <c r="AF92" s="19">
        <f t="shared" si="52"/>
        <v>78592760.53630254</v>
      </c>
      <c r="AG92" s="19">
        <f t="shared" si="52"/>
        <v>78592760.53630254</v>
      </c>
      <c r="AH92" s="19">
        <f t="shared" si="52"/>
        <v>78592760.53630254</v>
      </c>
      <c r="AI92" s="19">
        <f t="shared" si="52"/>
        <v>78592760.53630254</v>
      </c>
      <c r="AJ92" s="19">
        <f t="shared" si="52"/>
        <v>78592760.53630254</v>
      </c>
      <c r="AK92" s="19">
        <f t="shared" si="52"/>
        <v>78592760.53630254</v>
      </c>
      <c r="AL92" s="19">
        <f aca="true" t="shared" si="53" ref="AL92:AS92">AL20/$D$18*$D$92</f>
        <v>78592760.53630254</v>
      </c>
      <c r="AM92" s="19">
        <f t="shared" si="53"/>
        <v>78592760.53630254</v>
      </c>
      <c r="AN92" s="19">
        <f t="shared" si="53"/>
        <v>78592760.53630254</v>
      </c>
      <c r="AO92" s="19">
        <f t="shared" si="53"/>
        <v>78592760.53630254</v>
      </c>
      <c r="AP92" s="19">
        <f t="shared" si="53"/>
        <v>78592760.53630254</v>
      </c>
      <c r="AQ92" s="19">
        <f t="shared" si="53"/>
        <v>78592760.53630254</v>
      </c>
      <c r="AR92" s="19">
        <f t="shared" si="53"/>
        <v>78592760.53630254</v>
      </c>
      <c r="AS92" s="19">
        <f t="shared" si="53"/>
        <v>78592760.53630254</v>
      </c>
    </row>
    <row r="93" spans="3:45" ht="12.75">
      <c r="C93" s="7" t="s">
        <v>142</v>
      </c>
      <c r="D93" s="24">
        <v>0.124</v>
      </c>
      <c r="E93" s="17">
        <v>0.46</v>
      </c>
      <c r="F93" s="65">
        <f aca="true" t="shared" si="54" ref="F93:K93">E93+E93*$E$98</f>
        <v>0.4761</v>
      </c>
      <c r="G93" s="65">
        <f t="shared" si="54"/>
        <v>0.4927635</v>
      </c>
      <c r="H93" s="65">
        <f t="shared" si="54"/>
        <v>0.5100102225</v>
      </c>
      <c r="I93" s="65">
        <f t="shared" si="54"/>
        <v>0.5278605802875</v>
      </c>
      <c r="J93" s="65">
        <f t="shared" si="54"/>
        <v>0.5463357005975625</v>
      </c>
      <c r="K93" s="65">
        <f t="shared" si="54"/>
        <v>0.5654574501184773</v>
      </c>
      <c r="L93" s="65">
        <f>'Diesel Fuel Costs'!C13/100</f>
        <v>0.8264</v>
      </c>
      <c r="M93" s="65">
        <f>'Diesel Fuel Costs'!D13/100</f>
        <v>0.7776000000000001</v>
      </c>
      <c r="N93" s="65">
        <f>'Diesel Fuel Costs'!E13/100</f>
        <v>0.6922</v>
      </c>
      <c r="O93" s="65">
        <f>'Diesel Fuel Costs'!F13/100</f>
        <v>0.6724</v>
      </c>
      <c r="P93" s="65">
        <f>'Diesel Fuel Costs'!G13/100</f>
        <v>0.6329</v>
      </c>
      <c r="Q93" s="65">
        <f>'Diesel Fuel Costs'!H13/100</f>
        <v>0.6305</v>
      </c>
      <c r="R93" s="65">
        <f>'Diesel Fuel Costs'!I13/100</f>
        <v>0.5987</v>
      </c>
      <c r="S93" s="65">
        <f>'Diesel Fuel Costs'!J13/100</f>
        <v>0.6001</v>
      </c>
      <c r="T93" s="65">
        <f>'Diesel Fuel Costs'!K13/100</f>
        <v>0.6766</v>
      </c>
      <c r="U93" s="65">
        <f>'Diesel Fuel Costs'!L13/100</f>
        <v>0.6781999999999999</v>
      </c>
      <c r="V93" s="65">
        <f>'Diesel Fuel Costs'!E13/100</f>
        <v>0.6922</v>
      </c>
      <c r="W93" s="65">
        <f>'Diesel Fuel Costs'!F13/100</f>
        <v>0.6724</v>
      </c>
      <c r="X93" s="65">
        <f>'Diesel Fuel Costs'!G13/100</f>
        <v>0.6329</v>
      </c>
      <c r="Y93" s="65">
        <f>'Diesel Fuel Costs'!H13/100</f>
        <v>0.6305</v>
      </c>
      <c r="Z93" s="65">
        <f>'Diesel Fuel Costs'!I13/100</f>
        <v>0.5987</v>
      </c>
      <c r="AA93" s="65">
        <f>'Diesel Fuel Costs'!J13/100</f>
        <v>0.6001</v>
      </c>
      <c r="AB93" s="65">
        <f>'Diesel Fuel Costs'!K13/100</f>
        <v>0.6766</v>
      </c>
      <c r="AC93" s="65">
        <f>'Diesel Fuel Costs'!L13/100</f>
        <v>0.6781999999999999</v>
      </c>
      <c r="AD93" s="65">
        <f>'Diesel Fuel Costs'!M13/100</f>
        <v>0.57</v>
      </c>
      <c r="AE93" s="65">
        <f>'Diesel Fuel Costs'!N13/100</f>
        <v>0.5545</v>
      </c>
      <c r="AF93" s="65">
        <f>'Diesel Fuel Costs'!O13/100</f>
        <v>0.8745999999999999</v>
      </c>
      <c r="AG93" s="65">
        <f>'Diesel Fuel Costs'!P13/100</f>
        <v>0.8543000000000001</v>
      </c>
      <c r="AH93" s="65">
        <v>1.1</v>
      </c>
      <c r="AI93" s="65">
        <v>1.26</v>
      </c>
      <c r="AJ93" s="65">
        <v>1.76</v>
      </c>
      <c r="AK93" s="65">
        <v>2.06</v>
      </c>
      <c r="AL93" s="65">
        <v>3.06</v>
      </c>
      <c r="AM93" s="65">
        <v>4.06</v>
      </c>
      <c r="AN93" s="65">
        <v>5.06</v>
      </c>
      <c r="AO93" s="65">
        <v>6.06</v>
      </c>
      <c r="AP93" s="65">
        <v>7.06</v>
      </c>
      <c r="AQ93" s="65">
        <v>8.06</v>
      </c>
      <c r="AR93" s="65">
        <v>9.06</v>
      </c>
      <c r="AS93" s="65">
        <v>10.06</v>
      </c>
    </row>
    <row r="94" spans="3:45" ht="12.75">
      <c r="C94" s="3" t="str">
        <f>CONCATENATE("Diesel Fuel Cost @ ",E19)</f>
        <v>Diesel Fuel Cost @ 0.027</v>
      </c>
      <c r="D94" s="68"/>
      <c r="E94" s="18">
        <f>E91*E93</f>
        <v>7181935.656000001</v>
      </c>
      <c r="F94" s="18">
        <f aca="true" t="shared" si="55" ref="F94:AK94">F91*F93</f>
        <v>7433303.403960001</v>
      </c>
      <c r="G94" s="18">
        <f t="shared" si="55"/>
        <v>7901192.686722262</v>
      </c>
      <c r="H94" s="18">
        <f t="shared" si="55"/>
        <v>8398533.260387996</v>
      </c>
      <c r="I94" s="18">
        <f t="shared" si="55"/>
        <v>8927178.936463118</v>
      </c>
      <c r="J94" s="18">
        <f t="shared" si="55"/>
        <v>9489100.214618789</v>
      </c>
      <c r="K94" s="18">
        <f t="shared" si="55"/>
        <v>10086391.627627969</v>
      </c>
      <c r="L94" s="18">
        <f t="shared" si="55"/>
        <v>15138981.153024098</v>
      </c>
      <c r="M94" s="18">
        <f t="shared" si="55"/>
        <v>14629619.653552165</v>
      </c>
      <c r="N94" s="18">
        <f t="shared" si="55"/>
        <v>13374539.014585786</v>
      </c>
      <c r="O94" s="18">
        <f t="shared" si="55"/>
        <v>13342750.815240514</v>
      </c>
      <c r="P94" s="18">
        <f t="shared" si="55"/>
        <v>12898024.865737353</v>
      </c>
      <c r="Q94" s="18">
        <f t="shared" si="55"/>
        <v>13196040.771289743</v>
      </c>
      <c r="R94" s="18">
        <f t="shared" si="55"/>
        <v>12868806.168493247</v>
      </c>
      <c r="S94" s="18">
        <f t="shared" si="55"/>
        <v>13247168.844862273</v>
      </c>
      <c r="T94" s="18">
        <f t="shared" si="55"/>
        <v>15339170.755416643</v>
      </c>
      <c r="U94" s="18">
        <f t="shared" si="55"/>
        <v>15790581.285389153</v>
      </c>
      <c r="V94" s="18">
        <f t="shared" si="55"/>
        <v>16551691.028636873</v>
      </c>
      <c r="W94" s="18">
        <f t="shared" si="55"/>
        <v>16512351.470589612</v>
      </c>
      <c r="X94" s="18">
        <f t="shared" si="55"/>
        <v>15961979.865215708</v>
      </c>
      <c r="Y94" s="18">
        <f t="shared" si="55"/>
        <v>16330790.123643547</v>
      </c>
      <c r="Z94" s="18">
        <f t="shared" si="55"/>
        <v>15925820.200309401</v>
      </c>
      <c r="AA94" s="18">
        <f t="shared" si="55"/>
        <v>16394063.786813468</v>
      </c>
      <c r="AB94" s="18">
        <f t="shared" si="55"/>
        <v>18983025.486132745</v>
      </c>
      <c r="AC94" s="18">
        <f t="shared" si="55"/>
        <v>19541669.609195974</v>
      </c>
      <c r="AD94" s="18">
        <f t="shared" si="55"/>
        <v>16867440.24259397</v>
      </c>
      <c r="AE94" s="18">
        <f t="shared" si="55"/>
        <v>16851800.87036904</v>
      </c>
      <c r="AF94" s="18">
        <f t="shared" si="55"/>
        <v>27297613.773377508</v>
      </c>
      <c r="AG94" s="18">
        <f t="shared" si="55"/>
        <v>27383948.01698435</v>
      </c>
      <c r="AH94" s="18">
        <f t="shared" si="55"/>
        <v>36211689.18973104</v>
      </c>
      <c r="AI94" s="18">
        <f t="shared" si="55"/>
        <v>42598772.768450685</v>
      </c>
      <c r="AJ94" s="18">
        <f t="shared" si="55"/>
        <v>61109629.963833325</v>
      </c>
      <c r="AK94" s="18">
        <f t="shared" si="55"/>
        <v>73457247.35459377</v>
      </c>
      <c r="AL94" s="18">
        <f aca="true" t="shared" si="56" ref="AL94:AS94">AL91*AL93</f>
        <v>112062240.13664733</v>
      </c>
      <c r="AM94" s="18">
        <f t="shared" si="56"/>
        <v>152698352.19561026</v>
      </c>
      <c r="AN94" s="18">
        <f t="shared" si="56"/>
        <v>195447120.9326976</v>
      </c>
      <c r="AO94" s="18">
        <f t="shared" si="56"/>
        <v>240393006.08283707</v>
      </c>
      <c r="AP94" s="18">
        <f t="shared" si="56"/>
        <v>287623488.07992417</v>
      </c>
      <c r="AQ94" s="18">
        <f t="shared" si="56"/>
        <v>337229169.6034195</v>
      </c>
      <c r="AR94" s="18">
        <f t="shared" si="56"/>
        <v>389303880.4063733</v>
      </c>
      <c r="AS94" s="18">
        <f t="shared" si="56"/>
        <v>443944785.52804583</v>
      </c>
    </row>
    <row r="95" spans="3:45" ht="12.75">
      <c r="C95" s="3" t="str">
        <f>CONCATENATE("Diesel Fuel Cost @ ",E20)</f>
        <v>Diesel Fuel Cost @ 0.08</v>
      </c>
      <c r="D95" s="68"/>
      <c r="E95" s="18">
        <f>E92*E93</f>
        <v>7181935.656000001</v>
      </c>
      <c r="F95" s="18">
        <f aca="true" t="shared" si="57" ref="F95:AK95">F92*F93</f>
        <v>7433303.403960001</v>
      </c>
      <c r="G95" s="18">
        <f t="shared" si="57"/>
        <v>8308946.544946489</v>
      </c>
      <c r="H95" s="18">
        <f t="shared" si="57"/>
        <v>9287740.447941186</v>
      </c>
      <c r="I95" s="18">
        <f t="shared" si="57"/>
        <v>10381836.272708656</v>
      </c>
      <c r="J95" s="18">
        <f t="shared" si="57"/>
        <v>11604816.585633736</v>
      </c>
      <c r="K95" s="18">
        <f t="shared" si="57"/>
        <v>12971863.979421392</v>
      </c>
      <c r="L95" s="18">
        <f t="shared" si="57"/>
        <v>20474651.56144917</v>
      </c>
      <c r="M95" s="18">
        <f t="shared" si="57"/>
        <v>20806844.359290298</v>
      </c>
      <c r="N95" s="18">
        <f t="shared" si="57"/>
        <v>20003468.97986215</v>
      </c>
      <c r="O95" s="18">
        <f t="shared" si="57"/>
        <v>20985783.220780198</v>
      </c>
      <c r="P95" s="18">
        <f t="shared" si="57"/>
        <v>21333215.907891627</v>
      </c>
      <c r="Q95" s="18">
        <f t="shared" si="57"/>
        <v>22952504.40878452</v>
      </c>
      <c r="R95" s="18">
        <f t="shared" si="57"/>
        <v>23538457.637910288</v>
      </c>
      <c r="S95" s="18">
        <f t="shared" si="57"/>
        <v>25480979.96123394</v>
      </c>
      <c r="T95" s="18">
        <f t="shared" si="57"/>
        <v>31027604.607752968</v>
      </c>
      <c r="U95" s="18">
        <f t="shared" si="57"/>
        <v>33589055.8093058</v>
      </c>
      <c r="V95" s="18">
        <f t="shared" si="57"/>
        <v>37025025.04526334</v>
      </c>
      <c r="W95" s="18">
        <f t="shared" si="57"/>
        <v>38843220.14976867</v>
      </c>
      <c r="X95" s="18">
        <f t="shared" si="57"/>
        <v>39486293.806382634</v>
      </c>
      <c r="Y95" s="18">
        <f t="shared" si="57"/>
        <v>42483483.81184735</v>
      </c>
      <c r="Z95" s="18">
        <f t="shared" si="57"/>
        <v>43568042.34544845</v>
      </c>
      <c r="AA95" s="18">
        <f t="shared" si="57"/>
        <v>47163515.59783515</v>
      </c>
      <c r="AB95" s="18">
        <f t="shared" si="57"/>
        <v>53175861.7788623</v>
      </c>
      <c r="AC95" s="18">
        <f t="shared" si="57"/>
        <v>53301610.195720375</v>
      </c>
      <c r="AD95" s="18">
        <f t="shared" si="57"/>
        <v>44797873.505692445</v>
      </c>
      <c r="AE95" s="18">
        <f t="shared" si="57"/>
        <v>43579685.717379756</v>
      </c>
      <c r="AF95" s="18">
        <f t="shared" si="57"/>
        <v>68737228.3650502</v>
      </c>
      <c r="AG95" s="18">
        <f t="shared" si="57"/>
        <v>67141795.32616326</v>
      </c>
      <c r="AH95" s="18">
        <f t="shared" si="57"/>
        <v>86452036.5899328</v>
      </c>
      <c r="AI95" s="18">
        <f t="shared" si="57"/>
        <v>99026878.27574119</v>
      </c>
      <c r="AJ95" s="18">
        <f t="shared" si="57"/>
        <v>138323258.54389247</v>
      </c>
      <c r="AK95" s="18">
        <f t="shared" si="57"/>
        <v>161901086.70478323</v>
      </c>
      <c r="AL95" s="18">
        <f aca="true" t="shared" si="58" ref="AL95:AS95">AL92*AL93</f>
        <v>240493847.24108577</v>
      </c>
      <c r="AM95" s="18">
        <f t="shared" si="58"/>
        <v>319086607.7773883</v>
      </c>
      <c r="AN95" s="18">
        <f t="shared" si="58"/>
        <v>397679368.3136908</v>
      </c>
      <c r="AO95" s="18">
        <f t="shared" si="58"/>
        <v>476272128.84999335</v>
      </c>
      <c r="AP95" s="18">
        <f t="shared" si="58"/>
        <v>554864889.3862959</v>
      </c>
      <c r="AQ95" s="18">
        <f t="shared" si="58"/>
        <v>633457649.9225985</v>
      </c>
      <c r="AR95" s="18">
        <f t="shared" si="58"/>
        <v>712050410.458901</v>
      </c>
      <c r="AS95" s="18">
        <f t="shared" si="58"/>
        <v>790643170.9952036</v>
      </c>
    </row>
    <row r="96" spans="3:45" ht="12.75">
      <c r="C96" s="3" t="str">
        <f>CONCATENATE("Lube Oil Expense @ ",E19)</f>
        <v>Lube Oil Expense @ 0.027</v>
      </c>
      <c r="D96" s="39">
        <v>0.124</v>
      </c>
      <c r="E96" s="52">
        <v>0.124</v>
      </c>
      <c r="F96" s="18">
        <f>F94*$E$96</f>
        <v>921729.6220910401</v>
      </c>
      <c r="G96" s="18">
        <f aca="true" t="shared" si="59" ref="G96:AK97">G94*$E$96</f>
        <v>979747.8931535605</v>
      </c>
      <c r="H96" s="18">
        <f t="shared" si="59"/>
        <v>1041418.1242881116</v>
      </c>
      <c r="I96" s="18">
        <f t="shared" si="59"/>
        <v>1106970.1881214266</v>
      </c>
      <c r="J96" s="18">
        <f t="shared" si="59"/>
        <v>1176648.42661273</v>
      </c>
      <c r="K96" s="18">
        <f t="shared" si="59"/>
        <v>1250712.5618258682</v>
      </c>
      <c r="L96" s="18">
        <f t="shared" si="59"/>
        <v>1877233.662974988</v>
      </c>
      <c r="M96" s="18">
        <f t="shared" si="59"/>
        <v>1814072.8370404686</v>
      </c>
      <c r="N96" s="18">
        <f t="shared" si="59"/>
        <v>1658442.8378086374</v>
      </c>
      <c r="O96" s="18">
        <f t="shared" si="59"/>
        <v>1654501.1010898238</v>
      </c>
      <c r="P96" s="18">
        <f t="shared" si="59"/>
        <v>1599355.0833514316</v>
      </c>
      <c r="Q96" s="18">
        <f t="shared" si="59"/>
        <v>1636309.0556399282</v>
      </c>
      <c r="R96" s="18">
        <f t="shared" si="59"/>
        <v>1595731.9648931625</v>
      </c>
      <c r="S96" s="18">
        <f t="shared" si="59"/>
        <v>1642648.9367629217</v>
      </c>
      <c r="T96" s="18">
        <f t="shared" si="59"/>
        <v>1902057.1736716637</v>
      </c>
      <c r="U96" s="18">
        <f t="shared" si="59"/>
        <v>1958032.079388255</v>
      </c>
      <c r="V96" s="18">
        <f t="shared" si="59"/>
        <v>2052409.6875509722</v>
      </c>
      <c r="W96" s="18">
        <f t="shared" si="59"/>
        <v>2047531.5823531118</v>
      </c>
      <c r="X96" s="18">
        <f t="shared" si="59"/>
        <v>1979285.5032867477</v>
      </c>
      <c r="Y96" s="18">
        <f t="shared" si="59"/>
        <v>2025017.9753317998</v>
      </c>
      <c r="Z96" s="18">
        <f t="shared" si="59"/>
        <v>1974801.7048383658</v>
      </c>
      <c r="AA96" s="18">
        <f t="shared" si="59"/>
        <v>2032863.90956487</v>
      </c>
      <c r="AB96" s="18">
        <f t="shared" si="59"/>
        <v>2353895.1602804605</v>
      </c>
      <c r="AC96" s="18">
        <f t="shared" si="59"/>
        <v>2423167.0315403007</v>
      </c>
      <c r="AD96" s="18">
        <f t="shared" si="59"/>
        <v>2091562.5900816524</v>
      </c>
      <c r="AE96" s="18">
        <f t="shared" si="59"/>
        <v>2089623.307925761</v>
      </c>
      <c r="AF96" s="18">
        <f t="shared" si="59"/>
        <v>3384904.107898811</v>
      </c>
      <c r="AG96" s="18">
        <f t="shared" si="59"/>
        <v>3395609.5541060595</v>
      </c>
      <c r="AH96" s="18">
        <f t="shared" si="59"/>
        <v>4490249.459526649</v>
      </c>
      <c r="AI96" s="18">
        <f t="shared" si="59"/>
        <v>5282247.823287885</v>
      </c>
      <c r="AJ96" s="18">
        <f t="shared" si="59"/>
        <v>7577594.115515332</v>
      </c>
      <c r="AK96" s="18">
        <f t="shared" si="59"/>
        <v>9108698.671969628</v>
      </c>
      <c r="AL96" s="18">
        <f aca="true" t="shared" si="60" ref="AL96:AS96">AL94*$E$96</f>
        <v>13895717.776944268</v>
      </c>
      <c r="AM96" s="18">
        <f t="shared" si="60"/>
        <v>18934595.672255673</v>
      </c>
      <c r="AN96" s="18">
        <f t="shared" si="60"/>
        <v>24235442.9956545</v>
      </c>
      <c r="AO96" s="18">
        <f t="shared" si="60"/>
        <v>29808732.754271798</v>
      </c>
      <c r="AP96" s="18">
        <f t="shared" si="60"/>
        <v>35665312.52191059</v>
      </c>
      <c r="AQ96" s="18">
        <f t="shared" si="60"/>
        <v>41816417.03082401</v>
      </c>
      <c r="AR96" s="18">
        <f t="shared" si="60"/>
        <v>48273681.17039029</v>
      </c>
      <c r="AS96" s="18">
        <f t="shared" si="60"/>
        <v>55049153.40547768</v>
      </c>
    </row>
    <row r="97" spans="3:45" ht="12.75">
      <c r="C97" s="3" t="str">
        <f>CONCATENATE("Lube Oil Expense @ ",E20)</f>
        <v>Lube Oil Expense @ 0.08</v>
      </c>
      <c r="D97" s="39">
        <v>0.124</v>
      </c>
      <c r="E97" s="52">
        <v>0.124</v>
      </c>
      <c r="F97" s="18">
        <f>F95*$E$96</f>
        <v>921729.6220910401</v>
      </c>
      <c r="G97" s="18">
        <f t="shared" si="59"/>
        <v>1030309.3715733646</v>
      </c>
      <c r="H97" s="18">
        <f t="shared" si="59"/>
        <v>1151679.815544707</v>
      </c>
      <c r="I97" s="18">
        <f t="shared" si="59"/>
        <v>1287347.6978158734</v>
      </c>
      <c r="J97" s="18">
        <f t="shared" si="59"/>
        <v>1438997.2566185833</v>
      </c>
      <c r="K97" s="18">
        <f t="shared" si="59"/>
        <v>1608511.1334482527</v>
      </c>
      <c r="L97" s="18">
        <f t="shared" si="59"/>
        <v>2538856.793619697</v>
      </c>
      <c r="M97" s="18">
        <f t="shared" si="59"/>
        <v>2580048.700551997</v>
      </c>
      <c r="N97" s="18">
        <f t="shared" si="59"/>
        <v>2480430.1535029067</v>
      </c>
      <c r="O97" s="18">
        <f t="shared" si="59"/>
        <v>2602237.1193767446</v>
      </c>
      <c r="P97" s="18">
        <f t="shared" si="59"/>
        <v>2645318.7725785617</v>
      </c>
      <c r="Q97" s="18">
        <f t="shared" si="59"/>
        <v>2846110.5466892803</v>
      </c>
      <c r="R97" s="18">
        <f t="shared" si="59"/>
        <v>2918768.7471008757</v>
      </c>
      <c r="S97" s="18">
        <f t="shared" si="59"/>
        <v>3159641.5151930084</v>
      </c>
      <c r="T97" s="18">
        <f t="shared" si="59"/>
        <v>3847422.971361368</v>
      </c>
      <c r="U97" s="18">
        <f t="shared" si="59"/>
        <v>4165042.9203539193</v>
      </c>
      <c r="V97" s="18">
        <f t="shared" si="59"/>
        <v>4591103.105612654</v>
      </c>
      <c r="W97" s="18">
        <f t="shared" si="59"/>
        <v>4816559.298571316</v>
      </c>
      <c r="X97" s="18">
        <f t="shared" si="59"/>
        <v>4896300.431991447</v>
      </c>
      <c r="Y97" s="18">
        <f t="shared" si="59"/>
        <v>5267951.992669072</v>
      </c>
      <c r="Z97" s="18">
        <f t="shared" si="59"/>
        <v>5402437.250835608</v>
      </c>
      <c r="AA97" s="18">
        <f t="shared" si="59"/>
        <v>5848275.934131559</v>
      </c>
      <c r="AB97" s="18">
        <f t="shared" si="59"/>
        <v>6593806.860578924</v>
      </c>
      <c r="AC97" s="18">
        <f t="shared" si="59"/>
        <v>6609399.664269326</v>
      </c>
      <c r="AD97" s="18">
        <f t="shared" si="59"/>
        <v>5554936.314705863</v>
      </c>
      <c r="AE97" s="18">
        <f t="shared" si="59"/>
        <v>5403881.02895509</v>
      </c>
      <c r="AF97" s="18">
        <f t="shared" si="59"/>
        <v>8523416.317266224</v>
      </c>
      <c r="AG97" s="18">
        <f t="shared" si="59"/>
        <v>8325582.620444245</v>
      </c>
      <c r="AH97" s="18">
        <f t="shared" si="59"/>
        <v>10720052.537151666</v>
      </c>
      <c r="AI97" s="18">
        <f t="shared" si="59"/>
        <v>12279332.906191908</v>
      </c>
      <c r="AJ97" s="18">
        <f t="shared" si="59"/>
        <v>17152084.059442665</v>
      </c>
      <c r="AK97" s="18">
        <f t="shared" si="59"/>
        <v>20075734.75139312</v>
      </c>
      <c r="AL97" s="18">
        <f aca="true" t="shared" si="61" ref="AL97:AS97">AL95*$E$96</f>
        <v>29821237.057894636</v>
      </c>
      <c r="AM97" s="18">
        <f t="shared" si="61"/>
        <v>39566739.36439615</v>
      </c>
      <c r="AN97" s="18">
        <f t="shared" si="61"/>
        <v>49312241.670897655</v>
      </c>
      <c r="AO97" s="18">
        <f t="shared" si="61"/>
        <v>59057743.97739918</v>
      </c>
      <c r="AP97" s="18">
        <f t="shared" si="61"/>
        <v>68803246.2839007</v>
      </c>
      <c r="AQ97" s="18">
        <f t="shared" si="61"/>
        <v>78548748.59040222</v>
      </c>
      <c r="AR97" s="18">
        <f t="shared" si="61"/>
        <v>88294250.89690372</v>
      </c>
      <c r="AS97" s="18">
        <f t="shared" si="61"/>
        <v>98039753.20340525</v>
      </c>
    </row>
    <row r="98" spans="3:45" ht="12.75">
      <c r="C98" s="3" t="s">
        <v>29</v>
      </c>
      <c r="D98" s="39">
        <v>0.035</v>
      </c>
      <c r="E98" s="52">
        <v>0.035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3:45" ht="12.75">
      <c r="C99" s="3" t="s">
        <v>30</v>
      </c>
      <c r="D99" s="19">
        <v>3000</v>
      </c>
      <c r="E99" s="53">
        <v>3000</v>
      </c>
      <c r="F99" s="19">
        <f>E99</f>
        <v>3000</v>
      </c>
      <c r="G99" s="19">
        <f>F99</f>
        <v>3000</v>
      </c>
      <c r="H99" s="19">
        <f aca="true" t="shared" si="62" ref="H99:AK99">G99</f>
        <v>3000</v>
      </c>
      <c r="I99" s="19">
        <f t="shared" si="62"/>
        <v>3000</v>
      </c>
      <c r="J99" s="19">
        <f t="shared" si="62"/>
        <v>3000</v>
      </c>
      <c r="K99" s="19">
        <f t="shared" si="62"/>
        <v>3000</v>
      </c>
      <c r="L99" s="19">
        <f t="shared" si="62"/>
        <v>3000</v>
      </c>
      <c r="M99" s="19">
        <f t="shared" si="62"/>
        <v>3000</v>
      </c>
      <c r="N99" s="19">
        <f t="shared" si="62"/>
        <v>3000</v>
      </c>
      <c r="O99" s="19">
        <f t="shared" si="62"/>
        <v>3000</v>
      </c>
      <c r="P99" s="19">
        <f t="shared" si="62"/>
        <v>3000</v>
      </c>
      <c r="Q99" s="19">
        <f t="shared" si="62"/>
        <v>3000</v>
      </c>
      <c r="R99" s="19">
        <f t="shared" si="62"/>
        <v>3000</v>
      </c>
      <c r="S99" s="19">
        <f t="shared" si="62"/>
        <v>3000</v>
      </c>
      <c r="T99" s="19">
        <f t="shared" si="62"/>
        <v>3000</v>
      </c>
      <c r="U99" s="19">
        <f t="shared" si="62"/>
        <v>3000</v>
      </c>
      <c r="V99" s="19">
        <f t="shared" si="62"/>
        <v>3000</v>
      </c>
      <c r="W99" s="19">
        <f t="shared" si="62"/>
        <v>3000</v>
      </c>
      <c r="X99" s="19">
        <f t="shared" si="62"/>
        <v>3000</v>
      </c>
      <c r="Y99" s="19">
        <f t="shared" si="62"/>
        <v>3000</v>
      </c>
      <c r="Z99" s="19">
        <f t="shared" si="62"/>
        <v>3000</v>
      </c>
      <c r="AA99" s="19">
        <f t="shared" si="62"/>
        <v>3000</v>
      </c>
      <c r="AB99" s="19">
        <f t="shared" si="62"/>
        <v>3000</v>
      </c>
      <c r="AC99" s="19">
        <f t="shared" si="62"/>
        <v>3000</v>
      </c>
      <c r="AD99" s="19">
        <f t="shared" si="62"/>
        <v>3000</v>
      </c>
      <c r="AE99" s="19">
        <f t="shared" si="62"/>
        <v>3000</v>
      </c>
      <c r="AF99" s="19">
        <f t="shared" si="62"/>
        <v>3000</v>
      </c>
      <c r="AG99" s="19">
        <f t="shared" si="62"/>
        <v>3000</v>
      </c>
      <c r="AH99" s="19">
        <f t="shared" si="62"/>
        <v>3000</v>
      </c>
      <c r="AI99" s="19">
        <f t="shared" si="62"/>
        <v>3000</v>
      </c>
      <c r="AJ99" s="19">
        <f t="shared" si="62"/>
        <v>3000</v>
      </c>
      <c r="AK99" s="19">
        <f t="shared" si="62"/>
        <v>3000</v>
      </c>
      <c r="AL99" s="19">
        <f>AK99</f>
        <v>3000</v>
      </c>
      <c r="AM99" s="19">
        <f>AL99</f>
        <v>3000</v>
      </c>
      <c r="AN99" s="19">
        <f>AM99</f>
        <v>3000</v>
      </c>
      <c r="AO99" s="19">
        <f>AN99</f>
        <v>3000</v>
      </c>
      <c r="AP99" s="19">
        <f>AO99</f>
        <v>3000</v>
      </c>
      <c r="AQ99" s="19">
        <f>AP99</f>
        <v>3000</v>
      </c>
      <c r="AR99" s="19">
        <f>AQ99</f>
        <v>3000</v>
      </c>
      <c r="AS99" s="19">
        <f>AR99</f>
        <v>3000</v>
      </c>
    </row>
    <row r="100" spans="3:45" ht="19.5" customHeight="1">
      <c r="C100" s="3" t="s">
        <v>31</v>
      </c>
      <c r="D100" s="55">
        <v>0.04</v>
      </c>
      <c r="E100" s="54">
        <v>0.04</v>
      </c>
      <c r="F100" s="42" t="s">
        <v>52</v>
      </c>
      <c r="G100" s="42" t="s">
        <v>52</v>
      </c>
      <c r="H100" s="42" t="s">
        <v>52</v>
      </c>
      <c r="I100" s="42" t="s">
        <v>52</v>
      </c>
      <c r="J100" s="42" t="s">
        <v>52</v>
      </c>
      <c r="K100" s="42" t="s">
        <v>52</v>
      </c>
      <c r="L100" s="42" t="s">
        <v>52</v>
      </c>
      <c r="M100" s="42" t="s">
        <v>52</v>
      </c>
      <c r="N100" s="42" t="s">
        <v>52</v>
      </c>
      <c r="O100" s="42" t="s">
        <v>52</v>
      </c>
      <c r="P100" s="42" t="s">
        <v>52</v>
      </c>
      <c r="Q100" s="42" t="s">
        <v>52</v>
      </c>
      <c r="R100" s="42" t="s">
        <v>52</v>
      </c>
      <c r="S100" s="42" t="s">
        <v>52</v>
      </c>
      <c r="T100" s="42" t="s">
        <v>52</v>
      </c>
      <c r="U100" s="42" t="s">
        <v>52</v>
      </c>
      <c r="V100" s="42" t="s">
        <v>52</v>
      </c>
      <c r="W100" s="42" t="s">
        <v>52</v>
      </c>
      <c r="X100" s="42" t="s">
        <v>52</v>
      </c>
      <c r="Y100" s="42" t="s">
        <v>52</v>
      </c>
      <c r="Z100" s="42" t="s">
        <v>52</v>
      </c>
      <c r="AA100" s="42" t="s">
        <v>52</v>
      </c>
      <c r="AB100" s="42" t="s">
        <v>52</v>
      </c>
      <c r="AC100" s="42" t="s">
        <v>52</v>
      </c>
      <c r="AD100" s="42" t="s">
        <v>52</v>
      </c>
      <c r="AE100" s="42" t="s">
        <v>52</v>
      </c>
      <c r="AF100" s="42" t="s">
        <v>52</v>
      </c>
      <c r="AG100" s="42" t="s">
        <v>52</v>
      </c>
      <c r="AH100" s="42" t="s">
        <v>52</v>
      </c>
      <c r="AI100" s="42" t="s">
        <v>52</v>
      </c>
      <c r="AJ100" s="42" t="s">
        <v>52</v>
      </c>
      <c r="AK100" s="42" t="s">
        <v>52</v>
      </c>
      <c r="AL100" s="42" t="s">
        <v>52</v>
      </c>
      <c r="AM100" s="42" t="s">
        <v>52</v>
      </c>
      <c r="AN100" s="42" t="s">
        <v>52</v>
      </c>
      <c r="AO100" s="42" t="s">
        <v>52</v>
      </c>
      <c r="AP100" s="42" t="s">
        <v>52</v>
      </c>
      <c r="AQ100" s="42" t="s">
        <v>52</v>
      </c>
      <c r="AR100" s="42" t="s">
        <v>52</v>
      </c>
      <c r="AS100" s="42" t="s">
        <v>52</v>
      </c>
    </row>
    <row r="101" spans="3:45" ht="12.75">
      <c r="C101" s="3" t="str">
        <f>CONCATENATE("Number of Diesel Locomotives @ ",E19)</f>
        <v>Number of Diesel Locomotives @ 0.027</v>
      </c>
      <c r="D101" s="36">
        <v>90</v>
      </c>
      <c r="E101" s="19">
        <v>90</v>
      </c>
      <c r="F101" s="60">
        <f>ROUNDUP(F19*$E$100/F99,0)</f>
        <v>98</v>
      </c>
      <c r="G101" s="24">
        <f aca="true" t="shared" si="63" ref="G101:AK101">ROUNDUP(G19*$E$100/G99,0)</f>
        <v>101</v>
      </c>
      <c r="H101" s="24">
        <f t="shared" si="63"/>
        <v>104</v>
      </c>
      <c r="I101" s="24">
        <f t="shared" si="63"/>
        <v>106</v>
      </c>
      <c r="J101" s="24">
        <f t="shared" si="63"/>
        <v>109</v>
      </c>
      <c r="K101" s="24">
        <f t="shared" si="63"/>
        <v>112</v>
      </c>
      <c r="L101" s="24">
        <f t="shared" si="63"/>
        <v>115</v>
      </c>
      <c r="M101" s="24">
        <f t="shared" si="63"/>
        <v>118</v>
      </c>
      <c r="N101" s="24">
        <f t="shared" si="63"/>
        <v>121</v>
      </c>
      <c r="O101" s="24">
        <f t="shared" si="63"/>
        <v>125</v>
      </c>
      <c r="P101" s="24">
        <f t="shared" si="63"/>
        <v>128</v>
      </c>
      <c r="Q101" s="24">
        <f t="shared" si="63"/>
        <v>132</v>
      </c>
      <c r="R101" s="24">
        <f t="shared" si="63"/>
        <v>135</v>
      </c>
      <c r="S101" s="24">
        <f t="shared" si="63"/>
        <v>139</v>
      </c>
      <c r="T101" s="24">
        <f t="shared" si="63"/>
        <v>142</v>
      </c>
      <c r="U101" s="24">
        <f t="shared" si="63"/>
        <v>146</v>
      </c>
      <c r="V101" s="24">
        <f t="shared" si="63"/>
        <v>150</v>
      </c>
      <c r="W101" s="24">
        <f t="shared" si="63"/>
        <v>154</v>
      </c>
      <c r="X101" s="24">
        <f t="shared" si="63"/>
        <v>158</v>
      </c>
      <c r="Y101" s="24">
        <f t="shared" si="63"/>
        <v>163</v>
      </c>
      <c r="Z101" s="24">
        <f t="shared" si="63"/>
        <v>167</v>
      </c>
      <c r="AA101" s="24">
        <f t="shared" si="63"/>
        <v>172</v>
      </c>
      <c r="AB101" s="24">
        <f t="shared" si="63"/>
        <v>176</v>
      </c>
      <c r="AC101" s="24">
        <f t="shared" si="63"/>
        <v>181</v>
      </c>
      <c r="AD101" s="24">
        <f t="shared" si="63"/>
        <v>186</v>
      </c>
      <c r="AE101" s="24">
        <f t="shared" si="63"/>
        <v>191</v>
      </c>
      <c r="AF101" s="24">
        <f t="shared" si="63"/>
        <v>196</v>
      </c>
      <c r="AG101" s="24">
        <f t="shared" si="63"/>
        <v>201</v>
      </c>
      <c r="AH101" s="24">
        <f t="shared" si="63"/>
        <v>207</v>
      </c>
      <c r="AI101" s="24">
        <f t="shared" si="63"/>
        <v>212</v>
      </c>
      <c r="AJ101" s="24">
        <f t="shared" si="63"/>
        <v>218</v>
      </c>
      <c r="AK101" s="24">
        <f t="shared" si="63"/>
        <v>224</v>
      </c>
      <c r="AL101" s="24">
        <f aca="true" t="shared" si="64" ref="AL101:AS101">ROUNDUP(AL19*$E$100/AL99,0)</f>
        <v>230</v>
      </c>
      <c r="AM101" s="24">
        <f t="shared" si="64"/>
        <v>236</v>
      </c>
      <c r="AN101" s="24">
        <f t="shared" si="64"/>
        <v>242</v>
      </c>
      <c r="AO101" s="24">
        <f t="shared" si="64"/>
        <v>249</v>
      </c>
      <c r="AP101" s="24">
        <f t="shared" si="64"/>
        <v>256</v>
      </c>
      <c r="AQ101" s="24">
        <f t="shared" si="64"/>
        <v>262</v>
      </c>
      <c r="AR101" s="24">
        <f t="shared" si="64"/>
        <v>270</v>
      </c>
      <c r="AS101" s="24">
        <f t="shared" si="64"/>
        <v>277</v>
      </c>
    </row>
    <row r="102" spans="3:45" ht="12.75">
      <c r="C102" s="3" t="str">
        <f>CONCATENATE("Number of Diesel Locomotives @ ",E20)</f>
        <v>Number of Diesel Locomotives @ 0.08</v>
      </c>
      <c r="D102" s="35">
        <v>90</v>
      </c>
      <c r="E102" s="24">
        <v>90</v>
      </c>
      <c r="F102" s="60">
        <f>ROUNDUP(F20*$E$100/F99,0)</f>
        <v>98</v>
      </c>
      <c r="G102" s="24">
        <f aca="true" t="shared" si="65" ref="G102:AK102">ROUNDUP(G20*$E$100/G99,0)</f>
        <v>106</v>
      </c>
      <c r="H102" s="24">
        <f t="shared" si="65"/>
        <v>115</v>
      </c>
      <c r="I102" s="24">
        <f t="shared" si="65"/>
        <v>124</v>
      </c>
      <c r="J102" s="24">
        <f t="shared" si="65"/>
        <v>133</v>
      </c>
      <c r="K102" s="24">
        <f t="shared" si="65"/>
        <v>144</v>
      </c>
      <c r="L102" s="24">
        <f t="shared" si="65"/>
        <v>156</v>
      </c>
      <c r="M102" s="24">
        <f t="shared" si="65"/>
        <v>168</v>
      </c>
      <c r="N102" s="24">
        <f t="shared" si="65"/>
        <v>181</v>
      </c>
      <c r="O102" s="24">
        <f t="shared" si="65"/>
        <v>196</v>
      </c>
      <c r="P102" s="24">
        <f t="shared" si="65"/>
        <v>212</v>
      </c>
      <c r="Q102" s="24">
        <f t="shared" si="65"/>
        <v>228</v>
      </c>
      <c r="R102" s="24">
        <f t="shared" si="65"/>
        <v>247</v>
      </c>
      <c r="S102" s="24">
        <f t="shared" si="65"/>
        <v>266</v>
      </c>
      <c r="T102" s="24">
        <f t="shared" si="65"/>
        <v>288</v>
      </c>
      <c r="U102" s="24">
        <f t="shared" si="65"/>
        <v>311</v>
      </c>
      <c r="V102" s="24">
        <f t="shared" si="65"/>
        <v>335</v>
      </c>
      <c r="W102" s="24">
        <f t="shared" si="65"/>
        <v>362</v>
      </c>
      <c r="X102" s="24">
        <f t="shared" si="65"/>
        <v>391</v>
      </c>
      <c r="Y102" s="24">
        <f t="shared" si="65"/>
        <v>422</v>
      </c>
      <c r="Z102" s="24">
        <f t="shared" si="65"/>
        <v>456</v>
      </c>
      <c r="AA102" s="24">
        <f t="shared" si="65"/>
        <v>493</v>
      </c>
      <c r="AB102" s="24">
        <f t="shared" si="65"/>
        <v>493</v>
      </c>
      <c r="AC102" s="24">
        <f t="shared" si="65"/>
        <v>493</v>
      </c>
      <c r="AD102" s="24">
        <f t="shared" si="65"/>
        <v>493</v>
      </c>
      <c r="AE102" s="24">
        <f t="shared" si="65"/>
        <v>493</v>
      </c>
      <c r="AF102" s="24">
        <f t="shared" si="65"/>
        <v>493</v>
      </c>
      <c r="AG102" s="24">
        <f t="shared" si="65"/>
        <v>493</v>
      </c>
      <c r="AH102" s="24">
        <f t="shared" si="65"/>
        <v>493</v>
      </c>
      <c r="AI102" s="24">
        <f t="shared" si="65"/>
        <v>493</v>
      </c>
      <c r="AJ102" s="24">
        <f t="shared" si="65"/>
        <v>493</v>
      </c>
      <c r="AK102" s="24">
        <f t="shared" si="65"/>
        <v>493</v>
      </c>
      <c r="AL102" s="24">
        <f aca="true" t="shared" si="66" ref="AL102:AS102">ROUNDUP(AL20*$E$100/AL99,0)</f>
        <v>493</v>
      </c>
      <c r="AM102" s="24">
        <f t="shared" si="66"/>
        <v>493</v>
      </c>
      <c r="AN102" s="24">
        <f t="shared" si="66"/>
        <v>493</v>
      </c>
      <c r="AO102" s="24">
        <f t="shared" si="66"/>
        <v>493</v>
      </c>
      <c r="AP102" s="24">
        <f t="shared" si="66"/>
        <v>493</v>
      </c>
      <c r="AQ102" s="24">
        <f t="shared" si="66"/>
        <v>493</v>
      </c>
      <c r="AR102" s="24">
        <f t="shared" si="66"/>
        <v>493</v>
      </c>
      <c r="AS102" s="24">
        <f t="shared" si="66"/>
        <v>493</v>
      </c>
    </row>
    <row r="103" spans="3:45" ht="12.75">
      <c r="C103" s="3" t="str">
        <f>CONCATENATE("Retirements @ ",E19)</f>
        <v>Retirements @ 0.027</v>
      </c>
      <c r="D103" s="67"/>
      <c r="E103" s="68"/>
      <c r="F103" s="60">
        <f>IF(F$17-$D$17=$E$30,D105,0)</f>
        <v>0</v>
      </c>
      <c r="G103" s="24">
        <f aca="true" t="shared" si="67" ref="G103:S103">IF(G$17-$D$17=$E$30,E105,0)</f>
        <v>0</v>
      </c>
      <c r="H103" s="24">
        <f t="shared" si="67"/>
        <v>0</v>
      </c>
      <c r="I103" s="24">
        <f t="shared" si="67"/>
        <v>0</v>
      </c>
      <c r="J103" s="24">
        <f t="shared" si="67"/>
        <v>0</v>
      </c>
      <c r="K103" s="24">
        <f t="shared" si="67"/>
        <v>0</v>
      </c>
      <c r="L103" s="24">
        <f t="shared" si="67"/>
        <v>0</v>
      </c>
      <c r="M103" s="24">
        <f t="shared" si="67"/>
        <v>0</v>
      </c>
      <c r="N103" s="24">
        <f t="shared" si="67"/>
        <v>0</v>
      </c>
      <c r="O103" s="24">
        <f t="shared" si="67"/>
        <v>0</v>
      </c>
      <c r="P103" s="24">
        <f t="shared" si="67"/>
        <v>0</v>
      </c>
      <c r="Q103" s="24">
        <f t="shared" si="67"/>
        <v>0</v>
      </c>
      <c r="R103" s="24">
        <f t="shared" si="67"/>
        <v>0</v>
      </c>
      <c r="S103" s="24">
        <f t="shared" si="67"/>
        <v>0</v>
      </c>
      <c r="T103" s="24">
        <f aca="true" t="shared" si="68" ref="T103:AK103">IF(T$17-$D$17&gt;=$E$30,D105,0)</f>
        <v>56</v>
      </c>
      <c r="U103" s="24">
        <f t="shared" si="68"/>
        <v>34</v>
      </c>
      <c r="V103" s="24">
        <f t="shared" si="68"/>
        <v>8</v>
      </c>
      <c r="W103" s="24">
        <f t="shared" si="68"/>
        <v>3</v>
      </c>
      <c r="X103" s="24">
        <f t="shared" si="68"/>
        <v>3</v>
      </c>
      <c r="Y103" s="24">
        <f t="shared" si="68"/>
        <v>2</v>
      </c>
      <c r="Z103" s="24">
        <f t="shared" si="68"/>
        <v>3</v>
      </c>
      <c r="AA103" s="24">
        <f t="shared" si="68"/>
        <v>3</v>
      </c>
      <c r="AB103" s="24">
        <f t="shared" si="68"/>
        <v>3</v>
      </c>
      <c r="AC103" s="24">
        <f t="shared" si="68"/>
        <v>3</v>
      </c>
      <c r="AD103" s="24">
        <f t="shared" si="68"/>
        <v>3</v>
      </c>
      <c r="AE103" s="24">
        <f t="shared" si="68"/>
        <v>4</v>
      </c>
      <c r="AF103" s="24">
        <f t="shared" si="68"/>
        <v>3</v>
      </c>
      <c r="AG103" s="24">
        <f t="shared" si="68"/>
        <v>4</v>
      </c>
      <c r="AH103" s="24">
        <f t="shared" si="68"/>
        <v>3</v>
      </c>
      <c r="AI103" s="24">
        <f t="shared" si="68"/>
        <v>4</v>
      </c>
      <c r="AJ103" s="24">
        <f t="shared" si="68"/>
        <v>59</v>
      </c>
      <c r="AK103" s="24">
        <f t="shared" si="68"/>
        <v>38</v>
      </c>
      <c r="AL103" s="24">
        <f>IF(AL$17-$D$17&gt;=$E$30,V105,0)</f>
        <v>12</v>
      </c>
      <c r="AM103" s="24">
        <f>IF(AM$17-$D$17&gt;=$E$30,W105,0)</f>
        <v>7</v>
      </c>
      <c r="AN103" s="24">
        <f>IF(AN$17-$D$17&gt;=$E$30,X105,0)</f>
        <v>7</v>
      </c>
      <c r="AO103" s="24">
        <f>IF(AO$17-$D$17&gt;=$E$30,Y105,0)</f>
        <v>7</v>
      </c>
      <c r="AP103" s="24">
        <f>IF(AP$17-$D$17&gt;=$E$30,Z105,0)</f>
        <v>7</v>
      </c>
      <c r="AQ103" s="24">
        <f>IF(AQ$17-$D$17&gt;=$E$30,AA105,0)</f>
        <v>8</v>
      </c>
      <c r="AR103" s="24">
        <f>IF(AR$17-$D$17&gt;=$E$30,AB105,0)</f>
        <v>7</v>
      </c>
      <c r="AS103" s="24">
        <f>IF(AS$17-$D$17&gt;=$E$30,AC105,0)</f>
        <v>8</v>
      </c>
    </row>
    <row r="104" spans="3:45" ht="12.75">
      <c r="C104" s="3" t="str">
        <f>CONCATENATE("Retirements @ ",E20)</f>
        <v>Retirements @ 0.08</v>
      </c>
      <c r="D104" s="67"/>
      <c r="E104" s="68"/>
      <c r="F104" s="60">
        <f>IF(F17-$D$17=$E$30,D106,0)</f>
        <v>0</v>
      </c>
      <c r="G104" s="24">
        <f aca="true" t="shared" si="69" ref="G104:S104">IF(G17-$D$17=$E$30,E106,0)</f>
        <v>0</v>
      </c>
      <c r="H104" s="24">
        <f t="shared" si="69"/>
        <v>0</v>
      </c>
      <c r="I104" s="24">
        <f t="shared" si="69"/>
        <v>0</v>
      </c>
      <c r="J104" s="24">
        <f t="shared" si="69"/>
        <v>0</v>
      </c>
      <c r="K104" s="24">
        <f t="shared" si="69"/>
        <v>0</v>
      </c>
      <c r="L104" s="24">
        <f t="shared" si="69"/>
        <v>0</v>
      </c>
      <c r="M104" s="24">
        <f t="shared" si="69"/>
        <v>0</v>
      </c>
      <c r="N104" s="24">
        <f t="shared" si="69"/>
        <v>0</v>
      </c>
      <c r="O104" s="24">
        <f t="shared" si="69"/>
        <v>0</v>
      </c>
      <c r="P104" s="24">
        <f t="shared" si="69"/>
        <v>0</v>
      </c>
      <c r="Q104" s="24">
        <f t="shared" si="69"/>
        <v>0</v>
      </c>
      <c r="R104" s="24">
        <f t="shared" si="69"/>
        <v>0</v>
      </c>
      <c r="S104" s="24">
        <f t="shared" si="69"/>
        <v>0</v>
      </c>
      <c r="T104" s="24">
        <f aca="true" t="shared" si="70" ref="T104:AK104">IF(T17-$D$17&gt;=$E$30,D106,0)</f>
        <v>56</v>
      </c>
      <c r="U104" s="24">
        <f t="shared" si="70"/>
        <v>34</v>
      </c>
      <c r="V104" s="24">
        <f t="shared" si="70"/>
        <v>8</v>
      </c>
      <c r="W104" s="24">
        <f t="shared" si="70"/>
        <v>8</v>
      </c>
      <c r="X104" s="24">
        <f t="shared" si="70"/>
        <v>9</v>
      </c>
      <c r="Y104" s="24">
        <f t="shared" si="70"/>
        <v>9</v>
      </c>
      <c r="Z104" s="24">
        <f t="shared" si="70"/>
        <v>9</v>
      </c>
      <c r="AA104" s="24">
        <f t="shared" si="70"/>
        <v>11</v>
      </c>
      <c r="AB104" s="24">
        <f t="shared" si="70"/>
        <v>12</v>
      </c>
      <c r="AC104" s="24">
        <f t="shared" si="70"/>
        <v>12</v>
      </c>
      <c r="AD104" s="24">
        <f t="shared" si="70"/>
        <v>13</v>
      </c>
      <c r="AE104" s="24">
        <f t="shared" si="70"/>
        <v>15</v>
      </c>
      <c r="AF104" s="24">
        <f t="shared" si="70"/>
        <v>16</v>
      </c>
      <c r="AG104" s="24">
        <f t="shared" si="70"/>
        <v>16</v>
      </c>
      <c r="AH104" s="24">
        <f t="shared" si="70"/>
        <v>19</v>
      </c>
      <c r="AI104" s="24">
        <f t="shared" si="70"/>
        <v>19</v>
      </c>
      <c r="AJ104" s="24">
        <f t="shared" si="70"/>
        <v>78</v>
      </c>
      <c r="AK104" s="24">
        <f t="shared" si="70"/>
        <v>57</v>
      </c>
      <c r="AL104" s="24">
        <f>IF(AL17-$D$17&gt;=$E$30,V106,0)</f>
        <v>32</v>
      </c>
      <c r="AM104" s="24">
        <f>IF(AM17-$D$17&gt;=$E$30,W106,0)</f>
        <v>35</v>
      </c>
      <c r="AN104" s="24">
        <f>IF(AN17-$D$17&gt;=$E$30,X106,0)</f>
        <v>38</v>
      </c>
      <c r="AO104" s="24">
        <f>IF(AO17-$D$17&gt;=$E$30,Y106,0)</f>
        <v>40</v>
      </c>
      <c r="AP104" s="24">
        <f>IF(AP17-$D$17&gt;=$E$30,Z106,0)</f>
        <v>43</v>
      </c>
      <c r="AQ104" s="24">
        <f>IF(AQ17-$D$17&gt;=$E$30,AA106,0)</f>
        <v>48</v>
      </c>
      <c r="AR104" s="24">
        <f>IF(AR17-$D$17&gt;=$E$30,AB106,0)</f>
        <v>12</v>
      </c>
      <c r="AS104" s="24">
        <f>IF(AS17-$D$17&gt;=$E$30,AC106,0)</f>
        <v>12</v>
      </c>
    </row>
    <row r="105" spans="3:45" ht="12.75">
      <c r="C105" s="7" t="str">
        <f>CONCATENATE("Additions, @ ",E19)</f>
        <v>Additions, @ 0.027</v>
      </c>
      <c r="D105" s="35">
        <v>56</v>
      </c>
      <c r="E105" s="24">
        <v>34</v>
      </c>
      <c r="F105" s="61">
        <f>F101-E101+F103</f>
        <v>8</v>
      </c>
      <c r="G105" s="19">
        <f aca="true" t="shared" si="71" ref="G105:AK106">G101-F101+G103</f>
        <v>3</v>
      </c>
      <c r="H105" s="19">
        <f t="shared" si="71"/>
        <v>3</v>
      </c>
      <c r="I105" s="19">
        <f t="shared" si="71"/>
        <v>2</v>
      </c>
      <c r="J105" s="19">
        <f t="shared" si="71"/>
        <v>3</v>
      </c>
      <c r="K105" s="19">
        <f t="shared" si="71"/>
        <v>3</v>
      </c>
      <c r="L105" s="19">
        <f t="shared" si="71"/>
        <v>3</v>
      </c>
      <c r="M105" s="19">
        <f t="shared" si="71"/>
        <v>3</v>
      </c>
      <c r="N105" s="19">
        <f t="shared" si="71"/>
        <v>3</v>
      </c>
      <c r="O105" s="19">
        <f t="shared" si="71"/>
        <v>4</v>
      </c>
      <c r="P105" s="19">
        <f t="shared" si="71"/>
        <v>3</v>
      </c>
      <c r="Q105" s="19">
        <f t="shared" si="71"/>
        <v>4</v>
      </c>
      <c r="R105" s="19">
        <f t="shared" si="71"/>
        <v>3</v>
      </c>
      <c r="S105" s="19">
        <f t="shared" si="71"/>
        <v>4</v>
      </c>
      <c r="T105" s="19">
        <f t="shared" si="71"/>
        <v>59</v>
      </c>
      <c r="U105" s="19">
        <f t="shared" si="71"/>
        <v>38</v>
      </c>
      <c r="V105" s="19">
        <f t="shared" si="71"/>
        <v>12</v>
      </c>
      <c r="W105" s="19">
        <f t="shared" si="71"/>
        <v>7</v>
      </c>
      <c r="X105" s="19">
        <f t="shared" si="71"/>
        <v>7</v>
      </c>
      <c r="Y105" s="19">
        <f t="shared" si="71"/>
        <v>7</v>
      </c>
      <c r="Z105" s="19">
        <f t="shared" si="71"/>
        <v>7</v>
      </c>
      <c r="AA105" s="19">
        <f t="shared" si="71"/>
        <v>8</v>
      </c>
      <c r="AB105" s="19">
        <f t="shared" si="71"/>
        <v>7</v>
      </c>
      <c r="AC105" s="19">
        <f t="shared" si="71"/>
        <v>8</v>
      </c>
      <c r="AD105" s="19">
        <f t="shared" si="71"/>
        <v>8</v>
      </c>
      <c r="AE105" s="19">
        <f t="shared" si="71"/>
        <v>9</v>
      </c>
      <c r="AF105" s="19">
        <f t="shared" si="71"/>
        <v>8</v>
      </c>
      <c r="AG105" s="19">
        <f t="shared" si="71"/>
        <v>9</v>
      </c>
      <c r="AH105" s="19">
        <f t="shared" si="71"/>
        <v>9</v>
      </c>
      <c r="AI105" s="19">
        <f t="shared" si="71"/>
        <v>9</v>
      </c>
      <c r="AJ105" s="19">
        <f t="shared" si="71"/>
        <v>65</v>
      </c>
      <c r="AK105" s="19">
        <f t="shared" si="71"/>
        <v>44</v>
      </c>
      <c r="AL105" s="19">
        <f>AL101-AK101+AL103</f>
        <v>18</v>
      </c>
      <c r="AM105" s="19">
        <f>AM101-AL101+AM103</f>
        <v>13</v>
      </c>
      <c r="AN105" s="19">
        <f>AN101-AM101+AN103</f>
        <v>13</v>
      </c>
      <c r="AO105" s="19">
        <f>AO101-AN101+AO103</f>
        <v>14</v>
      </c>
      <c r="AP105" s="19">
        <f>AP101-AO101+AP103</f>
        <v>14</v>
      </c>
      <c r="AQ105" s="19">
        <f>AQ101-AP101+AQ103</f>
        <v>14</v>
      </c>
      <c r="AR105" s="19">
        <f>AR101-AQ101+AR103</f>
        <v>15</v>
      </c>
      <c r="AS105" s="19">
        <f>AS101-AR101+AS103</f>
        <v>15</v>
      </c>
    </row>
    <row r="106" spans="3:45" ht="12.75">
      <c r="C106" s="7" t="str">
        <f>CONCATENATE("Additions, @ ",E20)</f>
        <v>Additions, @ 0.08</v>
      </c>
      <c r="D106" s="35">
        <v>56</v>
      </c>
      <c r="E106" s="24">
        <v>34</v>
      </c>
      <c r="F106" s="61">
        <f>F102-E102+F104</f>
        <v>8</v>
      </c>
      <c r="G106" s="19">
        <f t="shared" si="71"/>
        <v>8</v>
      </c>
      <c r="H106" s="19">
        <f t="shared" si="71"/>
        <v>9</v>
      </c>
      <c r="I106" s="19">
        <f t="shared" si="71"/>
        <v>9</v>
      </c>
      <c r="J106" s="19">
        <f t="shared" si="71"/>
        <v>9</v>
      </c>
      <c r="K106" s="19">
        <f t="shared" si="71"/>
        <v>11</v>
      </c>
      <c r="L106" s="19">
        <f t="shared" si="71"/>
        <v>12</v>
      </c>
      <c r="M106" s="19">
        <f t="shared" si="71"/>
        <v>12</v>
      </c>
      <c r="N106" s="19">
        <f t="shared" si="71"/>
        <v>13</v>
      </c>
      <c r="O106" s="19">
        <f t="shared" si="71"/>
        <v>15</v>
      </c>
      <c r="P106" s="19">
        <f t="shared" si="71"/>
        <v>16</v>
      </c>
      <c r="Q106" s="19">
        <f t="shared" si="71"/>
        <v>16</v>
      </c>
      <c r="R106" s="19">
        <f t="shared" si="71"/>
        <v>19</v>
      </c>
      <c r="S106" s="19">
        <f t="shared" si="71"/>
        <v>19</v>
      </c>
      <c r="T106" s="19">
        <f t="shared" si="71"/>
        <v>78</v>
      </c>
      <c r="U106" s="19">
        <f t="shared" si="71"/>
        <v>57</v>
      </c>
      <c r="V106" s="19">
        <f t="shared" si="71"/>
        <v>32</v>
      </c>
      <c r="W106" s="19">
        <f t="shared" si="71"/>
        <v>35</v>
      </c>
      <c r="X106" s="19">
        <f t="shared" si="71"/>
        <v>38</v>
      </c>
      <c r="Y106" s="19">
        <f t="shared" si="71"/>
        <v>40</v>
      </c>
      <c r="Z106" s="19">
        <f t="shared" si="71"/>
        <v>43</v>
      </c>
      <c r="AA106" s="19">
        <f t="shared" si="71"/>
        <v>48</v>
      </c>
      <c r="AB106" s="19">
        <f t="shared" si="71"/>
        <v>12</v>
      </c>
      <c r="AC106" s="19">
        <f t="shared" si="71"/>
        <v>12</v>
      </c>
      <c r="AD106" s="19">
        <f t="shared" si="71"/>
        <v>13</v>
      </c>
      <c r="AE106" s="19">
        <f t="shared" si="71"/>
        <v>15</v>
      </c>
      <c r="AF106" s="19">
        <f t="shared" si="71"/>
        <v>16</v>
      </c>
      <c r="AG106" s="19">
        <f t="shared" si="71"/>
        <v>16</v>
      </c>
      <c r="AH106" s="19">
        <f t="shared" si="71"/>
        <v>19</v>
      </c>
      <c r="AI106" s="19">
        <f t="shared" si="71"/>
        <v>19</v>
      </c>
      <c r="AJ106" s="19">
        <f t="shared" si="71"/>
        <v>78</v>
      </c>
      <c r="AK106" s="19">
        <f t="shared" si="71"/>
        <v>57</v>
      </c>
      <c r="AL106" s="19">
        <f>AL102-AK102+AL104</f>
        <v>32</v>
      </c>
      <c r="AM106" s="19">
        <f>AM102-AL102+AM104</f>
        <v>35</v>
      </c>
      <c r="AN106" s="19">
        <f>AN102-AM102+AN104</f>
        <v>38</v>
      </c>
      <c r="AO106" s="19">
        <f>AO102-AN102+AO104</f>
        <v>40</v>
      </c>
      <c r="AP106" s="19">
        <f>AP102-AO102+AP104</f>
        <v>43</v>
      </c>
      <c r="AQ106" s="19">
        <f>AQ102-AP102+AQ104</f>
        <v>48</v>
      </c>
      <c r="AR106" s="19">
        <f>AR102-AQ102+AR104</f>
        <v>12</v>
      </c>
      <c r="AS106" s="19">
        <f>AS102-AR102+AS104</f>
        <v>12</v>
      </c>
    </row>
    <row r="107" spans="3:45" ht="12.75">
      <c r="C107" s="3" t="str">
        <f>CONCATENATE("Total Diesel Horsepower @ ",E19)</f>
        <v>Total Diesel Horsepower @ 0.027</v>
      </c>
      <c r="D107" s="36">
        <f>D99*D101</f>
        <v>270000</v>
      </c>
      <c r="E107" s="19">
        <f>E99*E101</f>
        <v>270000</v>
      </c>
      <c r="F107" s="61">
        <f>$F$99*F101</f>
        <v>294000</v>
      </c>
      <c r="G107" s="19">
        <f aca="true" t="shared" si="72" ref="G107:AK108">$F$99*G101</f>
        <v>303000</v>
      </c>
      <c r="H107" s="19">
        <f t="shared" si="72"/>
        <v>312000</v>
      </c>
      <c r="I107" s="19">
        <f t="shared" si="72"/>
        <v>318000</v>
      </c>
      <c r="J107" s="19">
        <f t="shared" si="72"/>
        <v>327000</v>
      </c>
      <c r="K107" s="19">
        <f t="shared" si="72"/>
        <v>336000</v>
      </c>
      <c r="L107" s="19">
        <f t="shared" si="72"/>
        <v>345000</v>
      </c>
      <c r="M107" s="19">
        <f t="shared" si="72"/>
        <v>354000</v>
      </c>
      <c r="N107" s="19">
        <f t="shared" si="72"/>
        <v>363000</v>
      </c>
      <c r="O107" s="19">
        <f t="shared" si="72"/>
        <v>375000</v>
      </c>
      <c r="P107" s="19">
        <f t="shared" si="72"/>
        <v>384000</v>
      </c>
      <c r="Q107" s="19">
        <f t="shared" si="72"/>
        <v>396000</v>
      </c>
      <c r="R107" s="19">
        <f t="shared" si="72"/>
        <v>405000</v>
      </c>
      <c r="S107" s="19">
        <f t="shared" si="72"/>
        <v>417000</v>
      </c>
      <c r="T107" s="19">
        <f t="shared" si="72"/>
        <v>426000</v>
      </c>
      <c r="U107" s="19">
        <f t="shared" si="72"/>
        <v>438000</v>
      </c>
      <c r="V107" s="19">
        <f t="shared" si="72"/>
        <v>450000</v>
      </c>
      <c r="W107" s="19">
        <f t="shared" si="72"/>
        <v>462000</v>
      </c>
      <c r="X107" s="19">
        <f t="shared" si="72"/>
        <v>474000</v>
      </c>
      <c r="Y107" s="19">
        <f t="shared" si="72"/>
        <v>489000</v>
      </c>
      <c r="Z107" s="19">
        <f t="shared" si="72"/>
        <v>501000</v>
      </c>
      <c r="AA107" s="19">
        <f t="shared" si="72"/>
        <v>516000</v>
      </c>
      <c r="AB107" s="19">
        <f t="shared" si="72"/>
        <v>528000</v>
      </c>
      <c r="AC107" s="19">
        <f t="shared" si="72"/>
        <v>543000</v>
      </c>
      <c r="AD107" s="19">
        <f t="shared" si="72"/>
        <v>558000</v>
      </c>
      <c r="AE107" s="19">
        <f t="shared" si="72"/>
        <v>573000</v>
      </c>
      <c r="AF107" s="19">
        <f t="shared" si="72"/>
        <v>588000</v>
      </c>
      <c r="AG107" s="19">
        <f t="shared" si="72"/>
        <v>603000</v>
      </c>
      <c r="AH107" s="19">
        <f t="shared" si="72"/>
        <v>621000</v>
      </c>
      <c r="AI107" s="19">
        <f t="shared" si="72"/>
        <v>636000</v>
      </c>
      <c r="AJ107" s="19">
        <f t="shared" si="72"/>
        <v>654000</v>
      </c>
      <c r="AK107" s="19">
        <f t="shared" si="72"/>
        <v>672000</v>
      </c>
      <c r="AL107" s="19">
        <f aca="true" t="shared" si="73" ref="AL107:AS107">$F$99*AL101</f>
        <v>690000</v>
      </c>
      <c r="AM107" s="19">
        <f t="shared" si="73"/>
        <v>708000</v>
      </c>
      <c r="AN107" s="19">
        <f t="shared" si="73"/>
        <v>726000</v>
      </c>
      <c r="AO107" s="19">
        <f t="shared" si="73"/>
        <v>747000</v>
      </c>
      <c r="AP107" s="19">
        <f t="shared" si="73"/>
        <v>768000</v>
      </c>
      <c r="AQ107" s="19">
        <f t="shared" si="73"/>
        <v>786000</v>
      </c>
      <c r="AR107" s="19">
        <f t="shared" si="73"/>
        <v>810000</v>
      </c>
      <c r="AS107" s="19">
        <f t="shared" si="73"/>
        <v>831000</v>
      </c>
    </row>
    <row r="108" spans="3:45" ht="12.75">
      <c r="C108" s="3" t="str">
        <f>CONCATENATE("Total Diesel Horsepower @ ",E20)</f>
        <v>Total Diesel Horsepower @ 0.08</v>
      </c>
      <c r="D108" s="36">
        <f>D99*D102</f>
        <v>270000</v>
      </c>
      <c r="E108" s="19">
        <f>E99*E102</f>
        <v>270000</v>
      </c>
      <c r="F108" s="61">
        <f>$F$99*F102</f>
        <v>294000</v>
      </c>
      <c r="G108" s="19">
        <f t="shared" si="72"/>
        <v>318000</v>
      </c>
      <c r="H108" s="19">
        <f t="shared" si="72"/>
        <v>345000</v>
      </c>
      <c r="I108" s="19">
        <f t="shared" si="72"/>
        <v>372000</v>
      </c>
      <c r="J108" s="19">
        <f t="shared" si="72"/>
        <v>399000</v>
      </c>
      <c r="K108" s="19">
        <f t="shared" si="72"/>
        <v>432000</v>
      </c>
      <c r="L108" s="19">
        <f t="shared" si="72"/>
        <v>468000</v>
      </c>
      <c r="M108" s="19">
        <f t="shared" si="72"/>
        <v>504000</v>
      </c>
      <c r="N108" s="19">
        <f t="shared" si="72"/>
        <v>543000</v>
      </c>
      <c r="O108" s="19">
        <f t="shared" si="72"/>
        <v>588000</v>
      </c>
      <c r="P108" s="19">
        <f t="shared" si="72"/>
        <v>636000</v>
      </c>
      <c r="Q108" s="19">
        <f t="shared" si="72"/>
        <v>684000</v>
      </c>
      <c r="R108" s="19">
        <f t="shared" si="72"/>
        <v>741000</v>
      </c>
      <c r="S108" s="19">
        <f t="shared" si="72"/>
        <v>798000</v>
      </c>
      <c r="T108" s="19">
        <f t="shared" si="72"/>
        <v>864000</v>
      </c>
      <c r="U108" s="19">
        <f t="shared" si="72"/>
        <v>933000</v>
      </c>
      <c r="V108" s="19">
        <f t="shared" si="72"/>
        <v>1005000</v>
      </c>
      <c r="W108" s="19">
        <f t="shared" si="72"/>
        <v>1086000</v>
      </c>
      <c r="X108" s="19">
        <f t="shared" si="72"/>
        <v>1173000</v>
      </c>
      <c r="Y108" s="19">
        <f t="shared" si="72"/>
        <v>1266000</v>
      </c>
      <c r="Z108" s="19">
        <f t="shared" si="72"/>
        <v>1368000</v>
      </c>
      <c r="AA108" s="19">
        <f t="shared" si="72"/>
        <v>1479000</v>
      </c>
      <c r="AB108" s="19">
        <f t="shared" si="72"/>
        <v>1479000</v>
      </c>
      <c r="AC108" s="19">
        <f t="shared" si="72"/>
        <v>1479000</v>
      </c>
      <c r="AD108" s="19">
        <f t="shared" si="72"/>
        <v>1479000</v>
      </c>
      <c r="AE108" s="19">
        <f t="shared" si="72"/>
        <v>1479000</v>
      </c>
      <c r="AF108" s="19">
        <f t="shared" si="72"/>
        <v>1479000</v>
      </c>
      <c r="AG108" s="19">
        <f t="shared" si="72"/>
        <v>1479000</v>
      </c>
      <c r="AH108" s="19">
        <f t="shared" si="72"/>
        <v>1479000</v>
      </c>
      <c r="AI108" s="19">
        <f t="shared" si="72"/>
        <v>1479000</v>
      </c>
      <c r="AJ108" s="19">
        <f t="shared" si="72"/>
        <v>1479000</v>
      </c>
      <c r="AK108" s="19">
        <f t="shared" si="72"/>
        <v>1479000</v>
      </c>
      <c r="AL108" s="19">
        <f aca="true" t="shared" si="74" ref="AL108:AS108">$F$99*AL102</f>
        <v>1479000</v>
      </c>
      <c r="AM108" s="19">
        <f t="shared" si="74"/>
        <v>1479000</v>
      </c>
      <c r="AN108" s="19">
        <f t="shared" si="74"/>
        <v>1479000</v>
      </c>
      <c r="AO108" s="19">
        <f t="shared" si="74"/>
        <v>1479000</v>
      </c>
      <c r="AP108" s="19">
        <f t="shared" si="74"/>
        <v>1479000</v>
      </c>
      <c r="AQ108" s="19">
        <f t="shared" si="74"/>
        <v>1479000</v>
      </c>
      <c r="AR108" s="19">
        <f t="shared" si="74"/>
        <v>1479000</v>
      </c>
      <c r="AS108" s="19">
        <f t="shared" si="74"/>
        <v>1479000</v>
      </c>
    </row>
    <row r="109" spans="3:45" ht="12.75">
      <c r="C109" s="3" t="s">
        <v>32</v>
      </c>
      <c r="D109" s="56">
        <v>0.84</v>
      </c>
      <c r="E109" s="21">
        <v>0.84</v>
      </c>
      <c r="F109" s="60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3:45" ht="12.75">
      <c r="C110" s="3" t="str">
        <f>CONCATENATE("Net Diesel Horsepower @ ",E19)</f>
        <v>Net Diesel Horsepower @ 0.027</v>
      </c>
      <c r="D110" s="36">
        <f>D107*$D$109</f>
        <v>226800</v>
      </c>
      <c r="E110" s="19">
        <f>E107*$D$109</f>
        <v>226800</v>
      </c>
      <c r="F110" s="61">
        <f>F107*$E$109</f>
        <v>246960</v>
      </c>
      <c r="G110" s="19">
        <f aca="true" t="shared" si="75" ref="G110:AK111">G107*$E$109</f>
        <v>254520</v>
      </c>
      <c r="H110" s="19">
        <f t="shared" si="75"/>
        <v>262080</v>
      </c>
      <c r="I110" s="19">
        <f t="shared" si="75"/>
        <v>267120</v>
      </c>
      <c r="J110" s="19">
        <f t="shared" si="75"/>
        <v>274680</v>
      </c>
      <c r="K110" s="19">
        <f t="shared" si="75"/>
        <v>282240</v>
      </c>
      <c r="L110" s="19">
        <f t="shared" si="75"/>
        <v>289800</v>
      </c>
      <c r="M110" s="19">
        <f t="shared" si="75"/>
        <v>297360</v>
      </c>
      <c r="N110" s="19">
        <f t="shared" si="75"/>
        <v>304920</v>
      </c>
      <c r="O110" s="19">
        <f t="shared" si="75"/>
        <v>315000</v>
      </c>
      <c r="P110" s="19">
        <f t="shared" si="75"/>
        <v>322560</v>
      </c>
      <c r="Q110" s="19">
        <f t="shared" si="75"/>
        <v>332640</v>
      </c>
      <c r="R110" s="19">
        <f t="shared" si="75"/>
        <v>340200</v>
      </c>
      <c r="S110" s="19">
        <f t="shared" si="75"/>
        <v>350280</v>
      </c>
      <c r="T110" s="19">
        <f t="shared" si="75"/>
        <v>357840</v>
      </c>
      <c r="U110" s="19">
        <f t="shared" si="75"/>
        <v>367920</v>
      </c>
      <c r="V110" s="19">
        <f t="shared" si="75"/>
        <v>378000</v>
      </c>
      <c r="W110" s="19">
        <f t="shared" si="75"/>
        <v>388080</v>
      </c>
      <c r="X110" s="19">
        <f t="shared" si="75"/>
        <v>398160</v>
      </c>
      <c r="Y110" s="19">
        <f t="shared" si="75"/>
        <v>410760</v>
      </c>
      <c r="Z110" s="19">
        <f t="shared" si="75"/>
        <v>420840</v>
      </c>
      <c r="AA110" s="19">
        <f t="shared" si="75"/>
        <v>433440</v>
      </c>
      <c r="AB110" s="19">
        <f t="shared" si="75"/>
        <v>443520</v>
      </c>
      <c r="AC110" s="19">
        <f t="shared" si="75"/>
        <v>456120</v>
      </c>
      <c r="AD110" s="19">
        <f t="shared" si="75"/>
        <v>468720</v>
      </c>
      <c r="AE110" s="19">
        <f t="shared" si="75"/>
        <v>481320</v>
      </c>
      <c r="AF110" s="19">
        <f t="shared" si="75"/>
        <v>493920</v>
      </c>
      <c r="AG110" s="19">
        <f t="shared" si="75"/>
        <v>506520</v>
      </c>
      <c r="AH110" s="19">
        <f t="shared" si="75"/>
        <v>521640</v>
      </c>
      <c r="AI110" s="19">
        <f t="shared" si="75"/>
        <v>534240</v>
      </c>
      <c r="AJ110" s="19">
        <f t="shared" si="75"/>
        <v>549360</v>
      </c>
      <c r="AK110" s="19">
        <f t="shared" si="75"/>
        <v>564480</v>
      </c>
      <c r="AL110" s="19">
        <f aca="true" t="shared" si="76" ref="AL110:AS110">AL107*$E$109</f>
        <v>579600</v>
      </c>
      <c r="AM110" s="19">
        <f t="shared" si="76"/>
        <v>594720</v>
      </c>
      <c r="AN110" s="19">
        <f t="shared" si="76"/>
        <v>609840</v>
      </c>
      <c r="AO110" s="19">
        <f t="shared" si="76"/>
        <v>627480</v>
      </c>
      <c r="AP110" s="19">
        <f t="shared" si="76"/>
        <v>645120</v>
      </c>
      <c r="AQ110" s="19">
        <f t="shared" si="76"/>
        <v>660240</v>
      </c>
      <c r="AR110" s="19">
        <f t="shared" si="76"/>
        <v>680400</v>
      </c>
      <c r="AS110" s="19">
        <f t="shared" si="76"/>
        <v>698040</v>
      </c>
    </row>
    <row r="111" spans="3:45" ht="12.75">
      <c r="C111" s="3" t="str">
        <f>CONCATENATE("Net Diesel Horsepower @ ",E20)</f>
        <v>Net Diesel Horsepower @ 0.08</v>
      </c>
      <c r="D111" s="36">
        <f>D108*$D$109</f>
        <v>226800</v>
      </c>
      <c r="E111" s="19">
        <f>E108*$D$109</f>
        <v>226800</v>
      </c>
      <c r="F111" s="61">
        <f>F108*$E$109</f>
        <v>246960</v>
      </c>
      <c r="G111" s="19">
        <f t="shared" si="75"/>
        <v>267120</v>
      </c>
      <c r="H111" s="19">
        <f t="shared" si="75"/>
        <v>289800</v>
      </c>
      <c r="I111" s="19">
        <f t="shared" si="75"/>
        <v>312480</v>
      </c>
      <c r="J111" s="19">
        <f t="shared" si="75"/>
        <v>335160</v>
      </c>
      <c r="K111" s="19">
        <f t="shared" si="75"/>
        <v>362880</v>
      </c>
      <c r="L111" s="19">
        <f t="shared" si="75"/>
        <v>393120</v>
      </c>
      <c r="M111" s="19">
        <f t="shared" si="75"/>
        <v>423360</v>
      </c>
      <c r="N111" s="19">
        <f t="shared" si="75"/>
        <v>456120</v>
      </c>
      <c r="O111" s="19">
        <f t="shared" si="75"/>
        <v>493920</v>
      </c>
      <c r="P111" s="19">
        <f t="shared" si="75"/>
        <v>534240</v>
      </c>
      <c r="Q111" s="19">
        <f t="shared" si="75"/>
        <v>574560</v>
      </c>
      <c r="R111" s="19">
        <f t="shared" si="75"/>
        <v>622440</v>
      </c>
      <c r="S111" s="19">
        <f t="shared" si="75"/>
        <v>670320</v>
      </c>
      <c r="T111" s="19">
        <f t="shared" si="75"/>
        <v>725760</v>
      </c>
      <c r="U111" s="19">
        <f t="shared" si="75"/>
        <v>783720</v>
      </c>
      <c r="V111" s="19">
        <f t="shared" si="75"/>
        <v>844200</v>
      </c>
      <c r="W111" s="19">
        <f t="shared" si="75"/>
        <v>912240</v>
      </c>
      <c r="X111" s="19">
        <f t="shared" si="75"/>
        <v>985320</v>
      </c>
      <c r="Y111" s="19">
        <f t="shared" si="75"/>
        <v>1063440</v>
      </c>
      <c r="Z111" s="19">
        <f t="shared" si="75"/>
        <v>1149120</v>
      </c>
      <c r="AA111" s="19">
        <f t="shared" si="75"/>
        <v>1242360</v>
      </c>
      <c r="AB111" s="19">
        <f t="shared" si="75"/>
        <v>1242360</v>
      </c>
      <c r="AC111" s="19">
        <f t="shared" si="75"/>
        <v>1242360</v>
      </c>
      <c r="AD111" s="19">
        <f t="shared" si="75"/>
        <v>1242360</v>
      </c>
      <c r="AE111" s="19">
        <f t="shared" si="75"/>
        <v>1242360</v>
      </c>
      <c r="AF111" s="19">
        <f t="shared" si="75"/>
        <v>1242360</v>
      </c>
      <c r="AG111" s="19">
        <f t="shared" si="75"/>
        <v>1242360</v>
      </c>
      <c r="AH111" s="19">
        <f t="shared" si="75"/>
        <v>1242360</v>
      </c>
      <c r="AI111" s="19">
        <f t="shared" si="75"/>
        <v>1242360</v>
      </c>
      <c r="AJ111" s="19">
        <f t="shared" si="75"/>
        <v>1242360</v>
      </c>
      <c r="AK111" s="19">
        <f t="shared" si="75"/>
        <v>1242360</v>
      </c>
      <c r="AL111" s="19">
        <f aca="true" t="shared" si="77" ref="AL111:AS111">AL108*$E$109</f>
        <v>1242360</v>
      </c>
      <c r="AM111" s="19">
        <f t="shared" si="77"/>
        <v>1242360</v>
      </c>
      <c r="AN111" s="19">
        <f t="shared" si="77"/>
        <v>1242360</v>
      </c>
      <c r="AO111" s="19">
        <f t="shared" si="77"/>
        <v>1242360</v>
      </c>
      <c r="AP111" s="19">
        <f t="shared" si="77"/>
        <v>1242360</v>
      </c>
      <c r="AQ111" s="19">
        <f t="shared" si="77"/>
        <v>1242360</v>
      </c>
      <c r="AR111" s="19">
        <f t="shared" si="77"/>
        <v>1242360</v>
      </c>
      <c r="AS111" s="19">
        <f t="shared" si="77"/>
        <v>1242360</v>
      </c>
    </row>
    <row r="112" spans="3:45" ht="12.75">
      <c r="C112" s="3" t="s">
        <v>33</v>
      </c>
      <c r="D112" s="36">
        <v>298000</v>
      </c>
      <c r="E112" s="19">
        <v>257600</v>
      </c>
      <c r="F112" s="22">
        <f>$E$112*F24</f>
        <v>257600</v>
      </c>
      <c r="G112" s="18">
        <f aca="true" t="shared" si="78" ref="G112:AK112">$E$112*G24</f>
        <v>270480</v>
      </c>
      <c r="H112" s="18">
        <f t="shared" si="78"/>
        <v>284004</v>
      </c>
      <c r="I112" s="18">
        <f t="shared" si="78"/>
        <v>298204.2</v>
      </c>
      <c r="J112" s="18">
        <f t="shared" si="78"/>
        <v>313114.41000000003</v>
      </c>
      <c r="K112" s="18">
        <f t="shared" si="78"/>
        <v>328770.1305000001</v>
      </c>
      <c r="L112" s="18">
        <f t="shared" si="78"/>
        <v>345208.6370250001</v>
      </c>
      <c r="M112" s="18">
        <f t="shared" si="78"/>
        <v>362469.0688762501</v>
      </c>
      <c r="N112" s="18">
        <f t="shared" si="78"/>
        <v>380592.5223200626</v>
      </c>
      <c r="O112" s="18">
        <f t="shared" si="78"/>
        <v>399622.14843606576</v>
      </c>
      <c r="P112" s="18">
        <f t="shared" si="78"/>
        <v>419603.25585786905</v>
      </c>
      <c r="Q112" s="18">
        <f t="shared" si="78"/>
        <v>440583.4186507625</v>
      </c>
      <c r="R112" s="18">
        <f t="shared" si="78"/>
        <v>462612.58958330064</v>
      </c>
      <c r="S112" s="18">
        <f t="shared" si="78"/>
        <v>485743.2190624657</v>
      </c>
      <c r="T112" s="18">
        <f t="shared" si="78"/>
        <v>510030.380015589</v>
      </c>
      <c r="U112" s="18">
        <f t="shared" si="78"/>
        <v>535531.8990163684</v>
      </c>
      <c r="V112" s="18">
        <f t="shared" si="78"/>
        <v>562308.493967187</v>
      </c>
      <c r="W112" s="18">
        <f t="shared" si="78"/>
        <v>590423.9186655462</v>
      </c>
      <c r="X112" s="18">
        <f t="shared" si="78"/>
        <v>619945.1145988236</v>
      </c>
      <c r="Y112" s="18">
        <f t="shared" si="78"/>
        <v>650942.3703287648</v>
      </c>
      <c r="Z112" s="18">
        <f t="shared" si="78"/>
        <v>683489.488845203</v>
      </c>
      <c r="AA112" s="18">
        <f t="shared" si="78"/>
        <v>717663.9632874631</v>
      </c>
      <c r="AB112" s="18">
        <f t="shared" si="78"/>
        <v>753547.1614518361</v>
      </c>
      <c r="AC112" s="18">
        <f t="shared" si="78"/>
        <v>791224.519524428</v>
      </c>
      <c r="AD112" s="18">
        <f t="shared" si="78"/>
        <v>830785.7455006494</v>
      </c>
      <c r="AE112" s="18">
        <f t="shared" si="78"/>
        <v>872325.0327756819</v>
      </c>
      <c r="AF112" s="18">
        <f t="shared" si="78"/>
        <v>915941.284414466</v>
      </c>
      <c r="AG112" s="18">
        <f t="shared" si="78"/>
        <v>961738.3486351892</v>
      </c>
      <c r="AH112" s="18">
        <f t="shared" si="78"/>
        <v>1009825.2660669488</v>
      </c>
      <c r="AI112" s="18">
        <f t="shared" si="78"/>
        <v>1060316.5293702963</v>
      </c>
      <c r="AJ112" s="18">
        <f t="shared" si="78"/>
        <v>1113332.355838811</v>
      </c>
      <c r="AK112" s="18">
        <f t="shared" si="78"/>
        <v>1168998.9736307517</v>
      </c>
      <c r="AL112" s="18">
        <f aca="true" t="shared" si="79" ref="AL112:AS112">$E$112*AL24</f>
        <v>1227448.9223122892</v>
      </c>
      <c r="AM112" s="18">
        <f t="shared" si="79"/>
        <v>1288821.3684279036</v>
      </c>
      <c r="AN112" s="18">
        <f t="shared" si="79"/>
        <v>1353262.4368492987</v>
      </c>
      <c r="AO112" s="18">
        <f t="shared" si="79"/>
        <v>1420925.5586917638</v>
      </c>
      <c r="AP112" s="18">
        <f t="shared" si="79"/>
        <v>1491971.8366263518</v>
      </c>
      <c r="AQ112" s="18">
        <f t="shared" si="79"/>
        <v>1566570.4284576694</v>
      </c>
      <c r="AR112" s="18">
        <f t="shared" si="79"/>
        <v>1644898.949880553</v>
      </c>
      <c r="AS112" s="18">
        <f t="shared" si="79"/>
        <v>1727143.8973745804</v>
      </c>
    </row>
    <row r="113" spans="3:45" ht="12.75">
      <c r="C113" s="3" t="s">
        <v>34</v>
      </c>
      <c r="D113" s="35">
        <v>99.33</v>
      </c>
      <c r="E113" s="43">
        <f>E112/E110</f>
        <v>1.1358024691358024</v>
      </c>
      <c r="F113" s="62">
        <f>F112/F110</f>
        <v>1.0430839002267573</v>
      </c>
      <c r="G113" s="43">
        <f aca="true" t="shared" si="80" ref="G113:AK113">G112/G110</f>
        <v>1.0627062706270627</v>
      </c>
      <c r="H113" s="43">
        <f t="shared" si="80"/>
        <v>1.083653846153846</v>
      </c>
      <c r="I113" s="43">
        <f t="shared" si="80"/>
        <v>1.116367924528302</v>
      </c>
      <c r="J113" s="43">
        <f t="shared" si="80"/>
        <v>1.1399243119266056</v>
      </c>
      <c r="K113" s="43">
        <f t="shared" si="80"/>
        <v>1.1648601562500003</v>
      </c>
      <c r="L113" s="43">
        <f t="shared" si="80"/>
        <v>1.1911961250000005</v>
      </c>
      <c r="M113" s="43">
        <f t="shared" si="80"/>
        <v>1.2189570516419497</v>
      </c>
      <c r="N113" s="43">
        <f t="shared" si="80"/>
        <v>1.2481717247804756</v>
      </c>
      <c r="O113" s="43">
        <f t="shared" si="80"/>
        <v>1.2686417410668753</v>
      </c>
      <c r="P113" s="43">
        <f t="shared" si="80"/>
        <v>1.3008533477736515</v>
      </c>
      <c r="Q113" s="43">
        <f t="shared" si="80"/>
        <v>1.3245052268240816</v>
      </c>
      <c r="R113" s="43">
        <f t="shared" si="80"/>
        <v>1.359825366206057</v>
      </c>
      <c r="S113" s="43">
        <f t="shared" si="80"/>
        <v>1.386728386041069</v>
      </c>
      <c r="T113" s="43">
        <f t="shared" si="80"/>
        <v>1.4253028728358736</v>
      </c>
      <c r="U113" s="43">
        <f t="shared" si="80"/>
        <v>1.4555661530125257</v>
      </c>
      <c r="V113" s="43">
        <f t="shared" si="80"/>
        <v>1.4875886083788017</v>
      </c>
      <c r="W113" s="43">
        <f t="shared" si="80"/>
        <v>1.5213974403874104</v>
      </c>
      <c r="X113" s="43">
        <f t="shared" si="80"/>
        <v>1.557025101966103</v>
      </c>
      <c r="Y113" s="43">
        <f t="shared" si="80"/>
        <v>1.584726775559365</v>
      </c>
      <c r="Z113" s="43">
        <f t="shared" si="80"/>
        <v>1.6241077104011097</v>
      </c>
      <c r="AA113" s="43">
        <f t="shared" si="80"/>
        <v>1.6557400408071776</v>
      </c>
      <c r="AB113" s="43">
        <f t="shared" si="80"/>
        <v>1.6990150646010014</v>
      </c>
      <c r="AC113" s="43">
        <f t="shared" si="80"/>
        <v>1.7346849941340612</v>
      </c>
      <c r="AD113" s="43">
        <f t="shared" si="80"/>
        <v>1.7724563609418191</v>
      </c>
      <c r="AE113" s="43">
        <f t="shared" si="80"/>
        <v>1.8123598287535982</v>
      </c>
      <c r="AF113" s="43">
        <f t="shared" si="80"/>
        <v>1.8544324676353783</v>
      </c>
      <c r="AG113" s="43">
        <f t="shared" si="80"/>
        <v>1.8987174220863723</v>
      </c>
      <c r="AH113" s="43">
        <f t="shared" si="80"/>
        <v>1.9358662412141492</v>
      </c>
      <c r="AI113" s="43">
        <f t="shared" si="80"/>
        <v>1.9847194694712045</v>
      </c>
      <c r="AJ113" s="43">
        <f t="shared" si="80"/>
        <v>2.026598871120597</v>
      </c>
      <c r="AK113" s="43">
        <f t="shared" si="80"/>
        <v>2.07093072142636</v>
      </c>
      <c r="AL113" s="43">
        <f aca="true" t="shared" si="81" ref="AL113:AS113">AL112/AL110</f>
        <v>2.1177517638238257</v>
      </c>
      <c r="AM113" s="43">
        <f t="shared" si="81"/>
        <v>2.167106148150228</v>
      </c>
      <c r="AN113" s="43">
        <f t="shared" si="81"/>
        <v>2.2190450558331674</v>
      </c>
      <c r="AO113" s="43">
        <f t="shared" si="81"/>
        <v>2.264495376253847</v>
      </c>
      <c r="AP113" s="43">
        <f t="shared" si="81"/>
        <v>2.3127043598498758</v>
      </c>
      <c r="AQ113" s="43">
        <f t="shared" si="81"/>
        <v>2.372728747815445</v>
      </c>
      <c r="AR113" s="43">
        <f t="shared" si="81"/>
        <v>2.4175469574964037</v>
      </c>
      <c r="AS113" s="43">
        <f t="shared" si="81"/>
        <v>2.4742763987372935</v>
      </c>
    </row>
    <row r="114" spans="3:45" ht="12.75">
      <c r="C114" s="3" t="str">
        <f>CONCATENATE("Total Cost Diesel Electric Locomotives @ ",E19)</f>
        <v>Total Cost Diesel Electric Locomotives @ 0.027</v>
      </c>
      <c r="D114" s="57">
        <f>D101*$D$112</f>
        <v>26820000</v>
      </c>
      <c r="E114" s="18">
        <f>E101*$E$112</f>
        <v>23184000</v>
      </c>
      <c r="F114" s="22">
        <f>F105*E$112</f>
        <v>2060800</v>
      </c>
      <c r="G114" s="18">
        <f aca="true" t="shared" si="82" ref="G114:AK115">G105*F$112</f>
        <v>772800</v>
      </c>
      <c r="H114" s="18">
        <f t="shared" si="82"/>
        <v>811440</v>
      </c>
      <c r="I114" s="18">
        <f t="shared" si="82"/>
        <v>568008</v>
      </c>
      <c r="J114" s="18">
        <f t="shared" si="82"/>
        <v>894612.6000000001</v>
      </c>
      <c r="K114" s="18">
        <f t="shared" si="82"/>
        <v>939343.2300000001</v>
      </c>
      <c r="L114" s="18">
        <f t="shared" si="82"/>
        <v>986310.3915000003</v>
      </c>
      <c r="M114" s="18">
        <f t="shared" si="82"/>
        <v>1035625.9110750004</v>
      </c>
      <c r="N114" s="18">
        <f t="shared" si="82"/>
        <v>1087407.2066287503</v>
      </c>
      <c r="O114" s="18">
        <f t="shared" si="82"/>
        <v>1522370.0892802505</v>
      </c>
      <c r="P114" s="18">
        <f t="shared" si="82"/>
        <v>1198866.4453081973</v>
      </c>
      <c r="Q114" s="18">
        <f t="shared" si="82"/>
        <v>1678413.0234314762</v>
      </c>
      <c r="R114" s="18">
        <f t="shared" si="82"/>
        <v>1321750.2559522875</v>
      </c>
      <c r="S114" s="18">
        <f t="shared" si="82"/>
        <v>1850450.3583332025</v>
      </c>
      <c r="T114" s="18">
        <f t="shared" si="82"/>
        <v>28658849.92468548</v>
      </c>
      <c r="U114" s="18">
        <f t="shared" si="82"/>
        <v>19381154.440592382</v>
      </c>
      <c r="V114" s="18">
        <f t="shared" si="82"/>
        <v>6426382.788196421</v>
      </c>
      <c r="W114" s="18">
        <f t="shared" si="82"/>
        <v>3936159.457770309</v>
      </c>
      <c r="X114" s="18">
        <f t="shared" si="82"/>
        <v>4132967.430658824</v>
      </c>
      <c r="Y114" s="18">
        <f t="shared" si="82"/>
        <v>4339615.802191765</v>
      </c>
      <c r="Z114" s="18">
        <f t="shared" si="82"/>
        <v>4556596.592301354</v>
      </c>
      <c r="AA114" s="18">
        <f t="shared" si="82"/>
        <v>5467915.910761624</v>
      </c>
      <c r="AB114" s="18">
        <f t="shared" si="82"/>
        <v>5023647.743012241</v>
      </c>
      <c r="AC114" s="18">
        <f t="shared" si="82"/>
        <v>6028377.291614689</v>
      </c>
      <c r="AD114" s="18">
        <f t="shared" si="82"/>
        <v>6329796.156195424</v>
      </c>
      <c r="AE114" s="18">
        <f t="shared" si="82"/>
        <v>7477071.709505845</v>
      </c>
      <c r="AF114" s="18">
        <f t="shared" si="82"/>
        <v>6978600.262205455</v>
      </c>
      <c r="AG114" s="18">
        <f t="shared" si="82"/>
        <v>8243471.5597301945</v>
      </c>
      <c r="AH114" s="18">
        <f t="shared" si="82"/>
        <v>8655645.137716703</v>
      </c>
      <c r="AI114" s="18">
        <f t="shared" si="82"/>
        <v>9088427.394602539</v>
      </c>
      <c r="AJ114" s="18">
        <f t="shared" si="82"/>
        <v>68920574.40906925</v>
      </c>
      <c r="AK114" s="18">
        <f t="shared" si="82"/>
        <v>48986623.656907685</v>
      </c>
      <c r="AL114" s="18">
        <f>AL105*AK$112</f>
        <v>21041981.525353532</v>
      </c>
      <c r="AM114" s="18">
        <f>AM105*AL$112</f>
        <v>15956835.99005976</v>
      </c>
      <c r="AN114" s="18">
        <f>AN105*AM$112</f>
        <v>16754677.789562747</v>
      </c>
      <c r="AO114" s="18">
        <f>AO105*AN$112</f>
        <v>18945674.115890183</v>
      </c>
      <c r="AP114" s="18">
        <f>AP105*AO$112</f>
        <v>19892957.821684692</v>
      </c>
      <c r="AQ114" s="18">
        <f>AQ105*AP$112</f>
        <v>20887605.712768927</v>
      </c>
      <c r="AR114" s="18">
        <f>AR105*AQ$112</f>
        <v>23498556.42686504</v>
      </c>
      <c r="AS114" s="18">
        <f>AS105*AR$112</f>
        <v>24673484.248208296</v>
      </c>
    </row>
    <row r="115" spans="3:45" ht="12.75">
      <c r="C115" s="3" t="str">
        <f>CONCATENATE("Total Cost Diesel Electric Locomotives @ ",E20)</f>
        <v>Total Cost Diesel Electric Locomotives @ 0.08</v>
      </c>
      <c r="D115" s="57">
        <f>D102*$D$112</f>
        <v>26820000</v>
      </c>
      <c r="E115" s="18">
        <f>E102*$E$112</f>
        <v>23184000</v>
      </c>
      <c r="F115" s="18">
        <f>F106*E$112</f>
        <v>2060800</v>
      </c>
      <c r="G115" s="18">
        <f t="shared" si="82"/>
        <v>2060800</v>
      </c>
      <c r="H115" s="18">
        <f t="shared" si="82"/>
        <v>2434320</v>
      </c>
      <c r="I115" s="18">
        <f t="shared" si="82"/>
        <v>2556036</v>
      </c>
      <c r="J115" s="18">
        <f t="shared" si="82"/>
        <v>2683837.8000000003</v>
      </c>
      <c r="K115" s="18">
        <f t="shared" si="82"/>
        <v>3444258.5100000002</v>
      </c>
      <c r="L115" s="18">
        <f t="shared" si="82"/>
        <v>3945241.566000001</v>
      </c>
      <c r="M115" s="18">
        <f t="shared" si="82"/>
        <v>4142503.6443000017</v>
      </c>
      <c r="N115" s="18">
        <f t="shared" si="82"/>
        <v>4712097.895391252</v>
      </c>
      <c r="O115" s="18">
        <f t="shared" si="82"/>
        <v>5708887.834800939</v>
      </c>
      <c r="P115" s="18">
        <f t="shared" si="82"/>
        <v>6393954.374977052</v>
      </c>
      <c r="Q115" s="18">
        <f t="shared" si="82"/>
        <v>6713652.093725905</v>
      </c>
      <c r="R115" s="18">
        <f t="shared" si="82"/>
        <v>8371084.954364488</v>
      </c>
      <c r="S115" s="18">
        <f t="shared" si="82"/>
        <v>8789639.202082712</v>
      </c>
      <c r="T115" s="18">
        <f t="shared" si="82"/>
        <v>37887971.086872324</v>
      </c>
      <c r="U115" s="18">
        <f t="shared" si="82"/>
        <v>29071731.660888575</v>
      </c>
      <c r="V115" s="18">
        <f t="shared" si="82"/>
        <v>17137020.76852379</v>
      </c>
      <c r="W115" s="18">
        <f t="shared" si="82"/>
        <v>19680797.288851544</v>
      </c>
      <c r="X115" s="18">
        <f t="shared" si="82"/>
        <v>22436108.909290757</v>
      </c>
      <c r="Y115" s="18">
        <f t="shared" si="82"/>
        <v>24797804.583952945</v>
      </c>
      <c r="Z115" s="18">
        <f t="shared" si="82"/>
        <v>27990521.924136885</v>
      </c>
      <c r="AA115" s="18">
        <f t="shared" si="82"/>
        <v>32807495.46456974</v>
      </c>
      <c r="AB115" s="18">
        <f t="shared" si="82"/>
        <v>8611967.559449557</v>
      </c>
      <c r="AC115" s="18">
        <f t="shared" si="82"/>
        <v>9042565.937422033</v>
      </c>
      <c r="AD115" s="18">
        <f t="shared" si="82"/>
        <v>10285918.753817564</v>
      </c>
      <c r="AE115" s="18">
        <f t="shared" si="82"/>
        <v>12461786.18250974</v>
      </c>
      <c r="AF115" s="18">
        <f t="shared" si="82"/>
        <v>13957200.52441091</v>
      </c>
      <c r="AG115" s="18">
        <f t="shared" si="82"/>
        <v>14655060.550631456</v>
      </c>
      <c r="AH115" s="18">
        <f t="shared" si="82"/>
        <v>18273028.624068595</v>
      </c>
      <c r="AI115" s="18">
        <f t="shared" si="82"/>
        <v>19186680.055272028</v>
      </c>
      <c r="AJ115" s="18">
        <f t="shared" si="82"/>
        <v>82704689.29088311</v>
      </c>
      <c r="AK115" s="18">
        <f>AK106*AJ$112</f>
        <v>63459944.28281223</v>
      </c>
      <c r="AL115" s="18">
        <f>AL106*AK$112</f>
        <v>37407967.156184055</v>
      </c>
      <c r="AM115" s="18">
        <f>AM106*AL$112</f>
        <v>42960712.280930124</v>
      </c>
      <c r="AN115" s="18">
        <f>AN106*AM$112</f>
        <v>48975212.00026034</v>
      </c>
      <c r="AO115" s="18">
        <f>AO106*AN$112</f>
        <v>54130497.47397195</v>
      </c>
      <c r="AP115" s="18">
        <f>AP106*AO$112</f>
        <v>61099799.02374584</v>
      </c>
      <c r="AQ115" s="18">
        <f>AQ106*AP$112</f>
        <v>71614648.15806489</v>
      </c>
      <c r="AR115" s="18">
        <f>AR106*AQ$112</f>
        <v>18798845.14149203</v>
      </c>
      <c r="AS115" s="18">
        <f>AS106*AR$112</f>
        <v>19738787.398566633</v>
      </c>
    </row>
    <row r="116" spans="3:45" ht="12.75">
      <c r="C116" s="3" t="str">
        <f>CONCATENATE("NPV, Total Diesel-Electric Costs @ ",E19)</f>
        <v>NPV, Total Diesel-Electric Costs @ 0.027</v>
      </c>
      <c r="D116" s="57"/>
      <c r="E116" s="18">
        <f>NPV(E21,E114:AK114)</f>
        <v>43396481.041662395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</row>
    <row r="117" spans="3:45" ht="12.75">
      <c r="C117" s="3" t="str">
        <f>CONCATENATE("NPV, Total Diesel-Electric Costs @ ",E20)</f>
        <v>NPV, Total Diesel-Electric Costs @ 0.08</v>
      </c>
      <c r="D117" s="57"/>
      <c r="E117" s="18">
        <f>NPV(E21,E115:AK115)</f>
        <v>74998275.41427743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</row>
    <row r="118" spans="3:45" ht="12.75">
      <c r="C118" s="3" t="s">
        <v>20</v>
      </c>
      <c r="D118" s="58">
        <f>D30</f>
        <v>15</v>
      </c>
      <c r="E118" s="23">
        <f>E30</f>
        <v>15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3:45" ht="12.75">
      <c r="C119" s="3" t="str">
        <f>CONCATENATE("Lease Increase @ ",E19)</f>
        <v>Lease Increase @ 0.027</v>
      </c>
      <c r="D119" s="74"/>
      <c r="E119" s="75"/>
      <c r="F119" s="63">
        <f>-PMT($E$22,$E$30,F114,F114*0.1,1)</f>
        <v>240990.27513975685</v>
      </c>
      <c r="G119" s="27">
        <f aca="true" t="shared" si="83" ref="G119:AK120">-PMT($E$22,$E$30,G114,G114*0.1,1)</f>
        <v>90371.3531774088</v>
      </c>
      <c r="H119" s="27">
        <f t="shared" si="83"/>
        <v>94889.92083627924</v>
      </c>
      <c r="I119" s="27">
        <f t="shared" si="83"/>
        <v>66422.94458539548</v>
      </c>
      <c r="J119" s="27">
        <f t="shared" si="83"/>
        <v>104616.13772199787</v>
      </c>
      <c r="K119" s="27">
        <f t="shared" si="83"/>
        <v>109846.94460809778</v>
      </c>
      <c r="L119" s="27">
        <f t="shared" si="83"/>
        <v>115339.29183850267</v>
      </c>
      <c r="M119" s="27">
        <f t="shared" si="83"/>
        <v>121106.25643042785</v>
      </c>
      <c r="N119" s="27">
        <f t="shared" si="83"/>
        <v>127161.56925194921</v>
      </c>
      <c r="O119" s="27">
        <f t="shared" si="83"/>
        <v>178026.1969527289</v>
      </c>
      <c r="P119" s="27">
        <f t="shared" si="83"/>
        <v>140195.63010027402</v>
      </c>
      <c r="Q119" s="27">
        <f t="shared" si="83"/>
        <v>196273.88214038362</v>
      </c>
      <c r="R119" s="27">
        <f t="shared" si="83"/>
        <v>154565.68218555208</v>
      </c>
      <c r="S119" s="27">
        <f t="shared" si="83"/>
        <v>216391.95505977297</v>
      </c>
      <c r="T119" s="27">
        <f t="shared" si="83"/>
        <v>3351370.403988234</v>
      </c>
      <c r="U119" s="27">
        <f t="shared" si="83"/>
        <v>2266435.2393072974</v>
      </c>
      <c r="V119" s="27">
        <f t="shared" si="83"/>
        <v>751502.210928209</v>
      </c>
      <c r="W119" s="27">
        <f t="shared" si="83"/>
        <v>460295.1041935282</v>
      </c>
      <c r="X119" s="27">
        <f t="shared" si="83"/>
        <v>483309.8594032045</v>
      </c>
      <c r="Y119" s="27">
        <f t="shared" si="83"/>
        <v>507475.35237336473</v>
      </c>
      <c r="Z119" s="27">
        <f t="shared" si="83"/>
        <v>532849.119992033</v>
      </c>
      <c r="AA119" s="27">
        <f t="shared" si="83"/>
        <v>639418.9439904395</v>
      </c>
      <c r="AB119" s="27">
        <f t="shared" si="83"/>
        <v>587466.1547912162</v>
      </c>
      <c r="AC119" s="27">
        <f t="shared" si="83"/>
        <v>704959.3857494594</v>
      </c>
      <c r="AD119" s="27">
        <f t="shared" si="83"/>
        <v>740207.3550369324</v>
      </c>
      <c r="AE119" s="27">
        <f t="shared" si="83"/>
        <v>874369.9381373764</v>
      </c>
      <c r="AF119" s="27">
        <f t="shared" si="83"/>
        <v>816078.6089282181</v>
      </c>
      <c r="AG119" s="27">
        <f t="shared" si="83"/>
        <v>963992.8567964577</v>
      </c>
      <c r="AH119" s="27">
        <f t="shared" si="83"/>
        <v>1012192.4996362805</v>
      </c>
      <c r="AI119" s="27">
        <f t="shared" si="83"/>
        <v>1062802.1246180946</v>
      </c>
      <c r="AJ119" s="27">
        <f t="shared" si="83"/>
        <v>8059582.778353883</v>
      </c>
      <c r="AK119" s="27">
        <f t="shared" si="83"/>
        <v>5728503.451691529</v>
      </c>
      <c r="AL119" s="27">
        <f aca="true" t="shared" si="84" ref="AL119:AS119">-PMT($E$22,$E$30,AL114,AL114*0.1,1)</f>
        <v>2460652.619022044</v>
      </c>
      <c r="AM119" s="27">
        <f t="shared" si="84"/>
        <v>1865994.902758383</v>
      </c>
      <c r="AN119" s="27">
        <f t="shared" si="84"/>
        <v>1959294.647896302</v>
      </c>
      <c r="AO119" s="27">
        <f t="shared" si="84"/>
        <v>2215510.1018519723</v>
      </c>
      <c r="AP119" s="27">
        <f t="shared" si="84"/>
        <v>2326285.606944571</v>
      </c>
      <c r="AQ119" s="27">
        <f t="shared" si="84"/>
        <v>2442599.8872917993</v>
      </c>
      <c r="AR119" s="27">
        <f t="shared" si="84"/>
        <v>2747924.8732032743</v>
      </c>
      <c r="AS119" s="27">
        <f t="shared" si="84"/>
        <v>2885321.116863438</v>
      </c>
    </row>
    <row r="120" spans="3:45" ht="12.75">
      <c r="C120" s="3" t="str">
        <f>CONCATENATE("Lease Increase @ ",E20)</f>
        <v>Lease Increase @ 0.08</v>
      </c>
      <c r="D120" s="74"/>
      <c r="E120" s="75"/>
      <c r="F120" s="63">
        <f>-PMT($E$22,$E$30,F115,F115*0.1,1)</f>
        <v>240990.27513975685</v>
      </c>
      <c r="G120" s="27">
        <f t="shared" si="83"/>
        <v>240990.27513975685</v>
      </c>
      <c r="H120" s="27">
        <f t="shared" si="83"/>
        <v>284669.76250883774</v>
      </c>
      <c r="I120" s="27">
        <f t="shared" si="83"/>
        <v>298903.2506342796</v>
      </c>
      <c r="J120" s="27">
        <f t="shared" si="83"/>
        <v>313848.41316599364</v>
      </c>
      <c r="K120" s="27">
        <f t="shared" si="83"/>
        <v>402772.1302296919</v>
      </c>
      <c r="L120" s="27">
        <f t="shared" si="83"/>
        <v>461357.1673540107</v>
      </c>
      <c r="M120" s="27">
        <f t="shared" si="83"/>
        <v>484425.0257217114</v>
      </c>
      <c r="N120" s="27">
        <f t="shared" si="83"/>
        <v>551033.4667584467</v>
      </c>
      <c r="O120" s="27">
        <f t="shared" si="83"/>
        <v>667598.2385727334</v>
      </c>
      <c r="P120" s="27">
        <f t="shared" si="83"/>
        <v>747710.0272014614</v>
      </c>
      <c r="Q120" s="27">
        <f t="shared" si="83"/>
        <v>785095.5285615345</v>
      </c>
      <c r="R120" s="27">
        <f t="shared" si="83"/>
        <v>978915.9871751635</v>
      </c>
      <c r="S120" s="27">
        <f t="shared" si="83"/>
        <v>1027861.7865339216</v>
      </c>
      <c r="T120" s="27">
        <f t="shared" si="83"/>
        <v>4430625.279848851</v>
      </c>
      <c r="U120" s="27">
        <f t="shared" si="83"/>
        <v>3399652.858960946</v>
      </c>
      <c r="V120" s="27">
        <f t="shared" si="83"/>
        <v>2004005.8958085573</v>
      </c>
      <c r="W120" s="27">
        <f t="shared" si="83"/>
        <v>2301475.5209676404</v>
      </c>
      <c r="X120" s="27">
        <f t="shared" si="83"/>
        <v>2623682.0939031104</v>
      </c>
      <c r="Y120" s="27">
        <f t="shared" si="83"/>
        <v>2899859.156419227</v>
      </c>
      <c r="Z120" s="27">
        <f t="shared" si="83"/>
        <v>3273216.0228082025</v>
      </c>
      <c r="AA120" s="27">
        <f t="shared" si="83"/>
        <v>3836513.6639426365</v>
      </c>
      <c r="AB120" s="27">
        <f t="shared" si="83"/>
        <v>1007084.8367849423</v>
      </c>
      <c r="AC120" s="27">
        <f t="shared" si="83"/>
        <v>1057439.0786241891</v>
      </c>
      <c r="AD120" s="27">
        <f t="shared" si="83"/>
        <v>1202836.9519350152</v>
      </c>
      <c r="AE120" s="27">
        <f t="shared" si="83"/>
        <v>1457283.2302289607</v>
      </c>
      <c r="AF120" s="27">
        <f t="shared" si="83"/>
        <v>1632157.2178564363</v>
      </c>
      <c r="AG120" s="27">
        <f t="shared" si="83"/>
        <v>1713765.0787492578</v>
      </c>
      <c r="AH120" s="27">
        <f t="shared" si="83"/>
        <v>2136850.832565481</v>
      </c>
      <c r="AI120" s="27">
        <f t="shared" si="83"/>
        <v>2243693.374193755</v>
      </c>
      <c r="AJ120" s="27">
        <f t="shared" si="83"/>
        <v>9671499.33402466</v>
      </c>
      <c r="AK120" s="27">
        <f t="shared" si="83"/>
        <v>7421015.835145846</v>
      </c>
      <c r="AL120" s="27">
        <f aca="true" t="shared" si="85" ref="AL120:AS120">-PMT($E$22,$E$30,AL115,AL115*0.1,1)</f>
        <v>4374493.544928078</v>
      </c>
      <c r="AM120" s="27">
        <f t="shared" si="85"/>
        <v>5023832.4305033395</v>
      </c>
      <c r="AN120" s="27">
        <f t="shared" si="85"/>
        <v>5727168.970773806</v>
      </c>
      <c r="AO120" s="27">
        <f t="shared" si="85"/>
        <v>6330028.862434206</v>
      </c>
      <c r="AP120" s="27">
        <f t="shared" si="85"/>
        <v>7145020.0784726115</v>
      </c>
      <c r="AQ120" s="27">
        <f t="shared" si="85"/>
        <v>8374628.185000454</v>
      </c>
      <c r="AR120" s="27">
        <f t="shared" si="85"/>
        <v>2198339.898562619</v>
      </c>
      <c r="AS120" s="27">
        <f t="shared" si="85"/>
        <v>2308256.8934907503</v>
      </c>
    </row>
    <row r="121" spans="3:45" ht="12.75">
      <c r="C121" s="3" t="str">
        <f>CONCATENATE("Diesel-Electric Lease Charge @ ",E19)</f>
        <v>Diesel-Electric Lease Charge @ 0.027</v>
      </c>
      <c r="D121" s="59">
        <v>2800000</v>
      </c>
      <c r="E121" s="27">
        <v>2800000</v>
      </c>
      <c r="F121" s="63">
        <f aca="true" t="shared" si="86" ref="F121:S122">E121-PMT($E$22,$E$30,F114,F114*0.1,1)</f>
        <v>3040990.275139757</v>
      </c>
      <c r="G121" s="27">
        <f t="shared" si="86"/>
        <v>3131361.6283171657</v>
      </c>
      <c r="H121" s="27">
        <f t="shared" si="86"/>
        <v>3226251.549153445</v>
      </c>
      <c r="I121" s="27">
        <f t="shared" si="86"/>
        <v>3292674.4937388403</v>
      </c>
      <c r="J121" s="27">
        <f t="shared" si="86"/>
        <v>3397290.631460838</v>
      </c>
      <c r="K121" s="27">
        <f t="shared" si="86"/>
        <v>3507137.576068936</v>
      </c>
      <c r="L121" s="27">
        <f t="shared" si="86"/>
        <v>3622476.8679074384</v>
      </c>
      <c r="M121" s="27">
        <f t="shared" si="86"/>
        <v>3743583.1243378664</v>
      </c>
      <c r="N121" s="27">
        <f t="shared" si="86"/>
        <v>3870744.693589816</v>
      </c>
      <c r="O121" s="27">
        <f t="shared" si="86"/>
        <v>4048770.890542545</v>
      </c>
      <c r="P121" s="27">
        <f t="shared" si="86"/>
        <v>4188966.520642819</v>
      </c>
      <c r="Q121" s="27">
        <f t="shared" si="86"/>
        <v>4385240.402783203</v>
      </c>
      <c r="R121" s="27">
        <f t="shared" si="86"/>
        <v>4539806.084968755</v>
      </c>
      <c r="S121" s="27">
        <f t="shared" si="86"/>
        <v>4756198.040028528</v>
      </c>
      <c r="T121" s="27">
        <f>S121-PMT($E$22,$E$30,T114,T114*0.1,1)-E121</f>
        <v>5307568.444016762</v>
      </c>
      <c r="U121" s="27">
        <f aca="true" t="shared" si="87" ref="U121:AK122">T121-PMT($E$22,$E$30,U114,U114*0.1,1)-F119</f>
        <v>7333013.408184303</v>
      </c>
      <c r="V121" s="27">
        <f t="shared" si="87"/>
        <v>7994144.265935103</v>
      </c>
      <c r="W121" s="27">
        <f t="shared" si="87"/>
        <v>8359549.449292352</v>
      </c>
      <c r="X121" s="27">
        <f t="shared" si="87"/>
        <v>8776436.36411016</v>
      </c>
      <c r="Y121" s="27">
        <f t="shared" si="87"/>
        <v>9179295.578761527</v>
      </c>
      <c r="Z121" s="27">
        <f t="shared" si="87"/>
        <v>9602297.754145462</v>
      </c>
      <c r="AA121" s="27">
        <f t="shared" si="87"/>
        <v>10126377.406297399</v>
      </c>
      <c r="AB121" s="27">
        <f t="shared" si="87"/>
        <v>10592737.304658186</v>
      </c>
      <c r="AC121" s="27">
        <f t="shared" si="87"/>
        <v>11170535.121155696</v>
      </c>
      <c r="AD121" s="27">
        <f t="shared" si="87"/>
        <v>11732716.2792399</v>
      </c>
      <c r="AE121" s="27">
        <f t="shared" si="87"/>
        <v>12466890.587277003</v>
      </c>
      <c r="AF121" s="27">
        <f t="shared" si="87"/>
        <v>13086695.314064838</v>
      </c>
      <c r="AG121" s="27">
        <f t="shared" si="87"/>
        <v>13896122.488675743</v>
      </c>
      <c r="AH121" s="27">
        <f t="shared" si="87"/>
        <v>14691923.033252252</v>
      </c>
      <c r="AI121" s="27">
        <f t="shared" si="87"/>
        <v>12403354.753882114</v>
      </c>
      <c r="AJ121" s="27">
        <f t="shared" si="87"/>
        <v>18196502.292928696</v>
      </c>
      <c r="AK121" s="27">
        <f t="shared" si="87"/>
        <v>23173503.533692017</v>
      </c>
      <c r="AL121" s="27">
        <f>AK121-PMT($E$22,$E$30,AL114,AL114*0.1,1)-W119</f>
        <v>25173861.048520535</v>
      </c>
      <c r="AM121" s="27">
        <f>AL121-PMT($E$22,$E$30,AM114,AM114*0.1,1)-X119</f>
        <v>26556546.091875713</v>
      </c>
      <c r="AN121" s="27">
        <f>AM121-PMT($E$22,$E$30,AN114,AN114*0.1,1)-Y119</f>
        <v>28008365.38739865</v>
      </c>
      <c r="AO121" s="27">
        <f>AN121-PMT($E$22,$E$30,AO114,AO114*0.1,1)-Z119</f>
        <v>29691026.36925859</v>
      </c>
      <c r="AP121" s="27">
        <f>AO121-PMT($E$22,$E$30,AP114,AP114*0.1,1)-AA119</f>
        <v>31377893.032212723</v>
      </c>
      <c r="AQ121" s="27">
        <f>AP121-PMT($E$22,$E$30,AQ114,AQ114*0.1,1)-AB119</f>
        <v>33233026.764713306</v>
      </c>
      <c r="AR121" s="27">
        <f>AQ121-PMT($E$22,$E$30,AR114,AR114*0.1,1)-AC119</f>
        <v>35275992.25216712</v>
      </c>
      <c r="AS121" s="27">
        <f>AR121-PMT($E$22,$E$30,AS114,AS114*0.1,1)-AD119</f>
        <v>37421106.01399363</v>
      </c>
    </row>
    <row r="122" spans="3:45" ht="12.75">
      <c r="C122" s="3" t="str">
        <f>CONCATENATE("Diesel-Electric Lease Charge @ ",E20)</f>
        <v>Diesel-Electric Lease Charge @ 0.08</v>
      </c>
      <c r="D122" s="59">
        <v>2800000</v>
      </c>
      <c r="E122" s="27">
        <v>2800000</v>
      </c>
      <c r="F122" s="63">
        <f t="shared" si="86"/>
        <v>3040990.275139757</v>
      </c>
      <c r="G122" s="27">
        <f t="shared" si="86"/>
        <v>3281980.550279514</v>
      </c>
      <c r="H122" s="27">
        <f t="shared" si="86"/>
        <v>3566650.3127883514</v>
      </c>
      <c r="I122" s="27">
        <f t="shared" si="86"/>
        <v>3865553.563422631</v>
      </c>
      <c r="J122" s="27">
        <f t="shared" si="86"/>
        <v>4179401.9765886245</v>
      </c>
      <c r="K122" s="27">
        <f t="shared" si="86"/>
        <v>4582174.1068183165</v>
      </c>
      <c r="L122" s="27">
        <f t="shared" si="86"/>
        <v>5043531.2741723275</v>
      </c>
      <c r="M122" s="27">
        <f t="shared" si="86"/>
        <v>5527956.299894039</v>
      </c>
      <c r="N122" s="27">
        <f t="shared" si="86"/>
        <v>6078989.766652485</v>
      </c>
      <c r="O122" s="27">
        <f t="shared" si="86"/>
        <v>6746588.005225219</v>
      </c>
      <c r="P122" s="27">
        <f t="shared" si="86"/>
        <v>7494298.03242668</v>
      </c>
      <c r="Q122" s="27">
        <f t="shared" si="86"/>
        <v>8279393.560988215</v>
      </c>
      <c r="R122" s="27">
        <f t="shared" si="86"/>
        <v>9258309.548163379</v>
      </c>
      <c r="S122" s="27">
        <f t="shared" si="86"/>
        <v>10286171.3346973</v>
      </c>
      <c r="T122" s="27">
        <f>S122-PMT($E$22,$E$30,T115,T115*0.1,1)-E122</f>
        <v>11916796.614546152</v>
      </c>
      <c r="U122" s="27">
        <f t="shared" si="87"/>
        <v>15075459.198367342</v>
      </c>
      <c r="V122" s="27">
        <f t="shared" si="87"/>
        <v>16838474.819036145</v>
      </c>
      <c r="W122" s="27">
        <f t="shared" si="87"/>
        <v>18855280.577494945</v>
      </c>
      <c r="X122" s="27">
        <f t="shared" si="87"/>
        <v>21180059.420763776</v>
      </c>
      <c r="Y122" s="27">
        <f t="shared" si="87"/>
        <v>23766070.164017007</v>
      </c>
      <c r="Z122" s="27">
        <f t="shared" si="87"/>
        <v>26636514.056595515</v>
      </c>
      <c r="AA122" s="27">
        <f t="shared" si="87"/>
        <v>30011670.55318414</v>
      </c>
      <c r="AB122" s="27">
        <f t="shared" si="87"/>
        <v>30534330.364247374</v>
      </c>
      <c r="AC122" s="27">
        <f t="shared" si="87"/>
        <v>31040735.97611312</v>
      </c>
      <c r="AD122" s="27">
        <f t="shared" si="87"/>
        <v>31575974.689475402</v>
      </c>
      <c r="AE122" s="27">
        <f t="shared" si="87"/>
        <v>32285547.8925029</v>
      </c>
      <c r="AF122" s="27">
        <f t="shared" si="87"/>
        <v>33132609.581797797</v>
      </c>
      <c r="AG122" s="27">
        <f t="shared" si="87"/>
        <v>33867458.67337189</v>
      </c>
      <c r="AH122" s="27">
        <f t="shared" si="87"/>
        <v>34976447.719403446</v>
      </c>
      <c r="AI122" s="27">
        <f t="shared" si="87"/>
        <v>32789515.813748352</v>
      </c>
      <c r="AJ122" s="27">
        <f t="shared" si="87"/>
        <v>39061362.28881206</v>
      </c>
      <c r="AK122" s="27">
        <f t="shared" si="87"/>
        <v>44478372.228149354</v>
      </c>
      <c r="AL122" s="27">
        <f>AK122-PMT($E$22,$E$30,AL115,AL115*0.1,1)-W120</f>
        <v>46551390.25210979</v>
      </c>
      <c r="AM122" s="27">
        <f>AL122-PMT($E$22,$E$30,AM115,AM115*0.1,1)-X120</f>
        <v>48951540.58871002</v>
      </c>
      <c r="AN122" s="27">
        <f>AM122-PMT($E$22,$E$30,AN115,AN115*0.1,1)-Y120</f>
        <v>51778850.4030646</v>
      </c>
      <c r="AO122" s="27">
        <f>AN122-PMT($E$22,$E$30,AO115,AO115*0.1,1)-Z120</f>
        <v>54835663.24269061</v>
      </c>
      <c r="AP122" s="27">
        <f>AO122-PMT($E$22,$E$30,AP115,AP115*0.1,1)-AA120</f>
        <v>58144169.65722059</v>
      </c>
      <c r="AQ122" s="27">
        <f>AP122-PMT($E$22,$E$30,AQ115,AQ115*0.1,1)-AB120</f>
        <v>65511713.0054361</v>
      </c>
      <c r="AR122" s="27">
        <f>AQ122-PMT($E$22,$E$30,AR115,AR115*0.1,1)-AC120</f>
        <v>66652613.82537453</v>
      </c>
      <c r="AS122" s="27">
        <f>AR122-PMT($E$22,$E$30,AS115,AS115*0.1,1)-AD120</f>
        <v>67758033.76693027</v>
      </c>
    </row>
    <row r="123" spans="3:45" ht="12.75">
      <c r="C123" s="7" t="str">
        <f>CONCATENATE("Maint. Per MGTM -- Diesel Electric @",E19)</f>
        <v>Maint. Per MGTM -- Diesel Electric @0.027</v>
      </c>
      <c r="D123" s="35">
        <v>0.0348</v>
      </c>
      <c r="E123" s="24">
        <v>0.0348</v>
      </c>
      <c r="F123" s="22">
        <f>$E$123*F19*F$24</f>
        <v>255150.62773199996</v>
      </c>
      <c r="G123" s="18">
        <f aca="true" t="shared" si="88" ref="G123:AK124">$E$123*G19*G$24</f>
        <v>275141.67941480223</v>
      </c>
      <c r="H123" s="18">
        <f t="shared" si="88"/>
        <v>296699.0299969519</v>
      </c>
      <c r="I123" s="18">
        <f t="shared" si="88"/>
        <v>319945.3989972131</v>
      </c>
      <c r="J123" s="18">
        <f t="shared" si="88"/>
        <v>345013.12100864487</v>
      </c>
      <c r="K123" s="18">
        <f t="shared" si="88"/>
        <v>372044.89903967216</v>
      </c>
      <c r="L123" s="18">
        <f t="shared" si="88"/>
        <v>401194.61687943054</v>
      </c>
      <c r="M123" s="18">
        <f t="shared" si="88"/>
        <v>432628.2151119339</v>
      </c>
      <c r="N123" s="18">
        <f t="shared" si="88"/>
        <v>466524.6357659539</v>
      </c>
      <c r="O123" s="18">
        <f t="shared" si="88"/>
        <v>503076.84097821644</v>
      </c>
      <c r="P123" s="18">
        <f t="shared" si="88"/>
        <v>542492.9114688595</v>
      </c>
      <c r="Q123" s="18">
        <f t="shared" si="88"/>
        <v>584997.2310824447</v>
      </c>
      <c r="R123" s="18">
        <f t="shared" si="88"/>
        <v>630831.7641377542</v>
      </c>
      <c r="S123" s="18">
        <f t="shared" si="88"/>
        <v>680257.4328579474</v>
      </c>
      <c r="T123" s="18">
        <f t="shared" si="88"/>
        <v>733555.6027223676</v>
      </c>
      <c r="U123" s="18">
        <f t="shared" si="88"/>
        <v>791029.6841956652</v>
      </c>
      <c r="V123" s="18">
        <f t="shared" si="88"/>
        <v>853006.8599523955</v>
      </c>
      <c r="W123" s="18">
        <f t="shared" si="88"/>
        <v>919839.9474296657</v>
      </c>
      <c r="X123" s="18">
        <f t="shared" si="88"/>
        <v>991909.4073107799</v>
      </c>
      <c r="Y123" s="18">
        <f t="shared" si="88"/>
        <v>1069625.5093735794</v>
      </c>
      <c r="Z123" s="18">
        <f t="shared" si="88"/>
        <v>1153430.6680329994</v>
      </c>
      <c r="AA123" s="18">
        <f t="shared" si="88"/>
        <v>1243801.9608733847</v>
      </c>
      <c r="AB123" s="18">
        <f t="shared" si="88"/>
        <v>1341253.8445078144</v>
      </c>
      <c r="AC123" s="18">
        <f t="shared" si="88"/>
        <v>1446341.0832250016</v>
      </c>
      <c r="AD123" s="18">
        <f t="shared" si="88"/>
        <v>1559661.9070956805</v>
      </c>
      <c r="AE123" s="18">
        <f t="shared" si="88"/>
        <v>1681861.417516627</v>
      </c>
      <c r="AF123" s="18">
        <f t="shared" si="88"/>
        <v>1813635.2595790548</v>
      </c>
      <c r="AG123" s="18">
        <f t="shared" si="88"/>
        <v>1955733.5821670734</v>
      </c>
      <c r="AH123" s="18">
        <f t="shared" si="88"/>
        <v>2108965.308329864</v>
      </c>
      <c r="AI123" s="18">
        <f t="shared" si="88"/>
        <v>2274202.740237509</v>
      </c>
      <c r="AJ123" s="18">
        <f t="shared" si="88"/>
        <v>2452386.524935118</v>
      </c>
      <c r="AK123" s="18">
        <f t="shared" si="88"/>
        <v>2644531.0091637843</v>
      </c>
      <c r="AL123" s="18">
        <f aca="true" t="shared" si="89" ref="AL123:AS123">$E$123*AL19*AL$24</f>
        <v>2851730.0137317665</v>
      </c>
      <c r="AM123" s="18">
        <f t="shared" si="89"/>
        <v>3075163.060307651</v>
      </c>
      <c r="AN123" s="18">
        <f t="shared" si="89"/>
        <v>3316102.086082755</v>
      </c>
      <c r="AO123" s="18">
        <f t="shared" si="89"/>
        <v>3575918.684527339</v>
      </c>
      <c r="AP123" s="18">
        <f t="shared" si="89"/>
        <v>3856091.9134600563</v>
      </c>
      <c r="AQ123" s="18">
        <f t="shared" si="89"/>
        <v>4158216.7148796516</v>
      </c>
      <c r="AR123" s="18">
        <f t="shared" si="89"/>
        <v>4484012.994490472</v>
      </c>
      <c r="AS123" s="18">
        <f t="shared" si="89"/>
        <v>4835335.4126088</v>
      </c>
    </row>
    <row r="124" spans="3:45" ht="12.75">
      <c r="C124" s="7" t="str">
        <f>CONCATENATE("Maint. Per MGTM -- Diesel Electric @",E20)</f>
        <v>Maint. Per MGTM -- Diesel Electric @0.08</v>
      </c>
      <c r="D124" s="35">
        <v>0.0348</v>
      </c>
      <c r="E124" s="24">
        <v>0.0348</v>
      </c>
      <c r="F124" s="22">
        <f>$E$123*F20*F$24</f>
        <v>255150.62773199996</v>
      </c>
      <c r="G124" s="18">
        <f t="shared" si="88"/>
        <v>289340.811848088</v>
      </c>
      <c r="H124" s="18">
        <f t="shared" si="88"/>
        <v>328112.4806357318</v>
      </c>
      <c r="I124" s="18">
        <f t="shared" si="88"/>
        <v>372079.5530409198</v>
      </c>
      <c r="J124" s="18">
        <f t="shared" si="88"/>
        <v>421938.21314840316</v>
      </c>
      <c r="K124" s="18">
        <f t="shared" si="88"/>
        <v>478477.93371028925</v>
      </c>
      <c r="L124" s="18">
        <f t="shared" si="88"/>
        <v>542593.976827468</v>
      </c>
      <c r="M124" s="18">
        <f t="shared" si="88"/>
        <v>615301.5697223487</v>
      </c>
      <c r="N124" s="18">
        <f t="shared" si="88"/>
        <v>697751.9800651436</v>
      </c>
      <c r="O124" s="18">
        <f t="shared" si="88"/>
        <v>791250.7453938727</v>
      </c>
      <c r="P124" s="18">
        <f t="shared" si="88"/>
        <v>897278.3452766518</v>
      </c>
      <c r="Q124" s="18">
        <f t="shared" si="88"/>
        <v>1017513.6435437233</v>
      </c>
      <c r="R124" s="18">
        <f t="shared" si="88"/>
        <v>1153860.471778582</v>
      </c>
      <c r="S124" s="18">
        <f t="shared" si="88"/>
        <v>1308477.774996912</v>
      </c>
      <c r="T124" s="18">
        <f t="shared" si="88"/>
        <v>1483813.7968464985</v>
      </c>
      <c r="U124" s="18">
        <f t="shared" si="88"/>
        <v>1682644.8456239293</v>
      </c>
      <c r="V124" s="18">
        <f t="shared" si="88"/>
        <v>1908119.2549375363</v>
      </c>
      <c r="W124" s="18">
        <f t="shared" si="88"/>
        <v>2163807.2350991657</v>
      </c>
      <c r="X124" s="18">
        <f t="shared" si="88"/>
        <v>2453757.4046024536</v>
      </c>
      <c r="Y124" s="18">
        <f t="shared" si="88"/>
        <v>2782560.8968191827</v>
      </c>
      <c r="Z124" s="18">
        <f t="shared" si="88"/>
        <v>3155424.0569929522</v>
      </c>
      <c r="AA124" s="18">
        <f t="shared" si="88"/>
        <v>3578250.880630008</v>
      </c>
      <c r="AB124" s="18">
        <f t="shared" si="88"/>
        <v>3757163.424661508</v>
      </c>
      <c r="AC124" s="18">
        <f t="shared" si="88"/>
        <v>3945021.5958945835</v>
      </c>
      <c r="AD124" s="18">
        <f t="shared" si="88"/>
        <v>4142272.6756893126</v>
      </c>
      <c r="AE124" s="18">
        <f t="shared" si="88"/>
        <v>4349386.309473778</v>
      </c>
      <c r="AF124" s="18">
        <f t="shared" si="88"/>
        <v>4566855.624947468</v>
      </c>
      <c r="AG124" s="18">
        <f t="shared" si="88"/>
        <v>4795198.406194841</v>
      </c>
      <c r="AH124" s="18">
        <f t="shared" si="88"/>
        <v>5034958.326504583</v>
      </c>
      <c r="AI124" s="18">
        <f t="shared" si="88"/>
        <v>5286706.242829812</v>
      </c>
      <c r="AJ124" s="18">
        <f t="shared" si="88"/>
        <v>5551041.554971303</v>
      </c>
      <c r="AK124" s="18">
        <f t="shared" si="88"/>
        <v>5828593.632719868</v>
      </c>
      <c r="AL124" s="18">
        <f aca="true" t="shared" si="90" ref="AL124:AS124">$E$123*AL20*AL$24</f>
        <v>6120023.314355861</v>
      </c>
      <c r="AM124" s="18">
        <f t="shared" si="90"/>
        <v>6426024.480073654</v>
      </c>
      <c r="AN124" s="18">
        <f t="shared" si="90"/>
        <v>6747325.704077337</v>
      </c>
      <c r="AO124" s="18">
        <f t="shared" si="90"/>
        <v>7084691.989281204</v>
      </c>
      <c r="AP124" s="18">
        <f t="shared" si="90"/>
        <v>7438926.588745263</v>
      </c>
      <c r="AQ124" s="18">
        <f t="shared" si="90"/>
        <v>7810872.918182527</v>
      </c>
      <c r="AR124" s="18">
        <f t="shared" si="90"/>
        <v>8201416.564091653</v>
      </c>
      <c r="AS124" s="18">
        <f t="shared" si="90"/>
        <v>8611487.392296234</v>
      </c>
    </row>
    <row r="125" spans="3:45" ht="12.75">
      <c r="C125" s="6" t="str">
        <f>CONCATENATE("ICC Annual Inspection Cost @ ",E19)</f>
        <v>ICC Annual Inspection Cost @ 0.027</v>
      </c>
      <c r="D125" s="59">
        <v>820</v>
      </c>
      <c r="E125" s="27">
        <v>820</v>
      </c>
      <c r="F125" s="27">
        <f>$E$125*F101*F$24</f>
        <v>80360</v>
      </c>
      <c r="G125" s="27">
        <f aca="true" t="shared" si="91" ref="G125:AK126">$E$125*G101*G$24</f>
        <v>86961</v>
      </c>
      <c r="H125" s="27">
        <f t="shared" si="91"/>
        <v>94021.2</v>
      </c>
      <c r="I125" s="27">
        <f t="shared" si="91"/>
        <v>100620.76500000001</v>
      </c>
      <c r="J125" s="27">
        <f t="shared" si="91"/>
        <v>108641.94862500002</v>
      </c>
      <c r="K125" s="27">
        <f t="shared" si="91"/>
        <v>117213.69870000004</v>
      </c>
      <c r="L125" s="27">
        <f t="shared" si="91"/>
        <v>126371.01891093754</v>
      </c>
      <c r="M125" s="27">
        <f t="shared" si="91"/>
        <v>136151.0368962188</v>
      </c>
      <c r="N125" s="27">
        <f t="shared" si="91"/>
        <v>146593.12913275082</v>
      </c>
      <c r="O125" s="27">
        <f t="shared" si="91"/>
        <v>159011.1421377979</v>
      </c>
      <c r="P125" s="27">
        <f t="shared" si="91"/>
        <v>170968.7800265603</v>
      </c>
      <c r="Q125" s="27">
        <f t="shared" si="91"/>
        <v>185127.13212250985</v>
      </c>
      <c r="R125" s="27">
        <f t="shared" si="91"/>
        <v>198801.29529064978</v>
      </c>
      <c r="S125" s="27">
        <f t="shared" si="91"/>
        <v>214926.2892420025</v>
      </c>
      <c r="T125" s="27">
        <f t="shared" si="91"/>
        <v>230543.23543872352</v>
      </c>
      <c r="U125" s="27">
        <f t="shared" si="91"/>
        <v>248889.281639129</v>
      </c>
      <c r="V125" s="27">
        <f t="shared" si="91"/>
        <v>268493.5743709782</v>
      </c>
      <c r="W125" s="27">
        <f t="shared" si="91"/>
        <v>289436.0731719145</v>
      </c>
      <c r="X125" s="27">
        <f t="shared" si="91"/>
        <v>311801.587917017</v>
      </c>
      <c r="Y125" s="27">
        <f t="shared" si="91"/>
        <v>337752.16311390797</v>
      </c>
      <c r="Z125" s="27">
        <f t="shared" si="91"/>
        <v>363342.5877424771</v>
      </c>
      <c r="AA125" s="27">
        <f t="shared" si="91"/>
        <v>392932.1637502476</v>
      </c>
      <c r="AB125" s="27">
        <f t="shared" si="91"/>
        <v>422173.62709910324</v>
      </c>
      <c r="AC125" s="27">
        <f t="shared" si="91"/>
        <v>455875.55585332145</v>
      </c>
      <c r="AD125" s="27">
        <f t="shared" si="91"/>
        <v>491892.2434152137</v>
      </c>
      <c r="AE125" s="27">
        <f t="shared" si="91"/>
        <v>530370.9108436619</v>
      </c>
      <c r="AF125" s="27">
        <f t="shared" si="91"/>
        <v>571467.7144064169</v>
      </c>
      <c r="AG125" s="27">
        <f t="shared" si="91"/>
        <v>615348.2710483382</v>
      </c>
      <c r="AH125" s="27">
        <f t="shared" si="91"/>
        <v>665402.7199619715</v>
      </c>
      <c r="AI125" s="27">
        <f t="shared" si="91"/>
        <v>715549.0119011347</v>
      </c>
      <c r="AJ125" s="27">
        <f t="shared" si="91"/>
        <v>772590.4189819327</v>
      </c>
      <c r="AK125" s="27">
        <f t="shared" si="91"/>
        <v>833547.0942410576</v>
      </c>
      <c r="AL125" s="27">
        <f aca="true" t="shared" si="92" ref="AL125:AS125">$E$125*AL101*AL$24</f>
        <v>898667.9609786402</v>
      </c>
      <c r="AM125" s="27">
        <f t="shared" si="92"/>
        <v>968217.0466543785</v>
      </c>
      <c r="AN125" s="27">
        <f t="shared" si="92"/>
        <v>1042474.370995244</v>
      </c>
      <c r="AO125" s="27">
        <f t="shared" si="92"/>
        <v>1126260.0177549857</v>
      </c>
      <c r="AP125" s="27">
        <f t="shared" si="92"/>
        <v>1215818.0432632135</v>
      </c>
      <c r="AQ125" s="27">
        <f t="shared" si="92"/>
        <v>1306529.4675848046</v>
      </c>
      <c r="AR125" s="27">
        <f t="shared" si="92"/>
        <v>1413744.6719858479</v>
      </c>
      <c r="AS125" s="27">
        <f t="shared" si="92"/>
        <v>1522917.1772114215</v>
      </c>
    </row>
    <row r="126" spans="3:45" ht="12.75">
      <c r="C126" s="6" t="str">
        <f>CONCATENATE("ICC Annual Inspection Cost @ ",E20)</f>
        <v>ICC Annual Inspection Cost @ 0.08</v>
      </c>
      <c r="D126" s="59">
        <v>820</v>
      </c>
      <c r="E126" s="27">
        <v>820</v>
      </c>
      <c r="F126" s="27">
        <f>$E$125*F102*F$24</f>
        <v>80360</v>
      </c>
      <c r="G126" s="27">
        <f t="shared" si="91"/>
        <v>91266</v>
      </c>
      <c r="H126" s="27">
        <f t="shared" si="91"/>
        <v>103965.75</v>
      </c>
      <c r="I126" s="27">
        <f t="shared" si="91"/>
        <v>117707.31000000001</v>
      </c>
      <c r="J126" s="27">
        <f t="shared" si="91"/>
        <v>132563.11162500002</v>
      </c>
      <c r="K126" s="27">
        <f t="shared" si="91"/>
        <v>150703.32690000004</v>
      </c>
      <c r="L126" s="27">
        <f t="shared" si="91"/>
        <v>171425.03434875005</v>
      </c>
      <c r="M126" s="27">
        <f t="shared" si="91"/>
        <v>193842.15422512506</v>
      </c>
      <c r="N126" s="27">
        <f t="shared" si="91"/>
        <v>219283.93696717275</v>
      </c>
      <c r="O126" s="27">
        <f t="shared" si="91"/>
        <v>249329.47087206712</v>
      </c>
      <c r="P126" s="27">
        <f t="shared" si="91"/>
        <v>283167.0419189905</v>
      </c>
      <c r="Q126" s="27">
        <f t="shared" si="91"/>
        <v>319765.0463934261</v>
      </c>
      <c r="R126" s="27">
        <f t="shared" si="91"/>
        <v>363732.7402725222</v>
      </c>
      <c r="S126" s="27">
        <f t="shared" si="91"/>
        <v>411297.7909235443</v>
      </c>
      <c r="T126" s="27">
        <f t="shared" si="91"/>
        <v>467580.6465236083</v>
      </c>
      <c r="U126" s="27">
        <f t="shared" si="91"/>
        <v>530168.2643134871</v>
      </c>
      <c r="V126" s="27">
        <f t="shared" si="91"/>
        <v>599635.649428518</v>
      </c>
      <c r="W126" s="27">
        <f t="shared" si="91"/>
        <v>680362.7174560588</v>
      </c>
      <c r="X126" s="27">
        <f t="shared" si="91"/>
        <v>771610.2587060358</v>
      </c>
      <c r="Y126" s="27">
        <f t="shared" si="91"/>
        <v>874425.8456077863</v>
      </c>
      <c r="Z126" s="27">
        <f t="shared" si="91"/>
        <v>992121.0779076021</v>
      </c>
      <c r="AA126" s="27">
        <f t="shared" si="91"/>
        <v>1126253.236795768</v>
      </c>
      <c r="AB126" s="27">
        <f t="shared" si="91"/>
        <v>1182565.8986355562</v>
      </c>
      <c r="AC126" s="27">
        <f t="shared" si="91"/>
        <v>1241694.1935673342</v>
      </c>
      <c r="AD126" s="27">
        <f t="shared" si="91"/>
        <v>1303778.9032457008</v>
      </c>
      <c r="AE126" s="27">
        <f t="shared" si="91"/>
        <v>1368967.8484079859</v>
      </c>
      <c r="AF126" s="27">
        <f t="shared" si="91"/>
        <v>1437416.240828385</v>
      </c>
      <c r="AG126" s="27">
        <f t="shared" si="91"/>
        <v>1509287.0528698044</v>
      </c>
      <c r="AH126" s="27">
        <f t="shared" si="91"/>
        <v>1584751.4055132945</v>
      </c>
      <c r="AI126" s="27">
        <f t="shared" si="91"/>
        <v>1663988.9757889595</v>
      </c>
      <c r="AJ126" s="27">
        <f t="shared" si="91"/>
        <v>1747188.4245784075</v>
      </c>
      <c r="AK126" s="27">
        <f t="shared" si="91"/>
        <v>1834547.845807328</v>
      </c>
      <c r="AL126" s="27">
        <f aca="true" t="shared" si="93" ref="AL126:AS126">$E$125*AL102*AL$24</f>
        <v>1926275.2380976942</v>
      </c>
      <c r="AM126" s="27">
        <f t="shared" si="93"/>
        <v>2022589.0000025788</v>
      </c>
      <c r="AN126" s="27">
        <f t="shared" si="93"/>
        <v>2123718.4500027075</v>
      </c>
      <c r="AO126" s="27">
        <f t="shared" si="93"/>
        <v>2229904.372502843</v>
      </c>
      <c r="AP126" s="27">
        <f t="shared" si="93"/>
        <v>2341399.591127985</v>
      </c>
      <c r="AQ126" s="27">
        <f t="shared" si="93"/>
        <v>2458469.5706843846</v>
      </c>
      <c r="AR126" s="27">
        <f t="shared" si="93"/>
        <v>2581393.0492186034</v>
      </c>
      <c r="AS126" s="27">
        <f t="shared" si="93"/>
        <v>2710462.701679534</v>
      </c>
    </row>
    <row r="127" spans="3:45" ht="12.75">
      <c r="C127" s="3" t="str">
        <f>CONCATENATE("Diesel Fuel Inventory Cost @ ",E19)</f>
        <v>Diesel Fuel Inventory Cost @ 0.027</v>
      </c>
      <c r="D127" s="56">
        <v>0.1</v>
      </c>
      <c r="E127" s="21">
        <v>0.1</v>
      </c>
      <c r="F127" s="18">
        <f>F94*$E$127</f>
        <v>743330.3403960001</v>
      </c>
      <c r="G127" s="18">
        <f aca="true" t="shared" si="94" ref="G127:AK127">G94*$E$127</f>
        <v>790119.2686722262</v>
      </c>
      <c r="H127" s="18">
        <f t="shared" si="94"/>
        <v>839853.3260387997</v>
      </c>
      <c r="I127" s="18">
        <f t="shared" si="94"/>
        <v>892717.8936463118</v>
      </c>
      <c r="J127" s="18">
        <f t="shared" si="94"/>
        <v>948910.0214618789</v>
      </c>
      <c r="K127" s="18">
        <f t="shared" si="94"/>
        <v>1008639.162762797</v>
      </c>
      <c r="L127" s="18">
        <f t="shared" si="94"/>
        <v>1513898.11530241</v>
      </c>
      <c r="M127" s="18">
        <f t="shared" si="94"/>
        <v>1462961.9653552165</v>
      </c>
      <c r="N127" s="18">
        <f t="shared" si="94"/>
        <v>1337453.9014585786</v>
      </c>
      <c r="O127" s="18">
        <f t="shared" si="94"/>
        <v>1334275.0815240515</v>
      </c>
      <c r="P127" s="18">
        <f t="shared" si="94"/>
        <v>1289802.4865737353</v>
      </c>
      <c r="Q127" s="18">
        <f t="shared" si="94"/>
        <v>1319604.0771289745</v>
      </c>
      <c r="R127" s="18">
        <f t="shared" si="94"/>
        <v>1286880.6168493247</v>
      </c>
      <c r="S127" s="18">
        <f t="shared" si="94"/>
        <v>1324716.8844862273</v>
      </c>
      <c r="T127" s="18">
        <f t="shared" si="94"/>
        <v>1533917.0755416644</v>
      </c>
      <c r="U127" s="18">
        <f t="shared" si="94"/>
        <v>1579058.1285389154</v>
      </c>
      <c r="V127" s="18">
        <f t="shared" si="94"/>
        <v>1655169.1028636873</v>
      </c>
      <c r="W127" s="18">
        <f t="shared" si="94"/>
        <v>1651235.1470589612</v>
      </c>
      <c r="X127" s="18">
        <f t="shared" si="94"/>
        <v>1596197.986521571</v>
      </c>
      <c r="Y127" s="18">
        <f t="shared" si="94"/>
        <v>1633079.012364355</v>
      </c>
      <c r="Z127" s="18">
        <f t="shared" si="94"/>
        <v>1592582.0200309402</v>
      </c>
      <c r="AA127" s="18">
        <f t="shared" si="94"/>
        <v>1639406.3786813468</v>
      </c>
      <c r="AB127" s="18">
        <f t="shared" si="94"/>
        <v>1898302.5486132745</v>
      </c>
      <c r="AC127" s="18">
        <f t="shared" si="94"/>
        <v>1954166.9609195974</v>
      </c>
      <c r="AD127" s="18">
        <f t="shared" si="94"/>
        <v>1686744.024259397</v>
      </c>
      <c r="AE127" s="18">
        <f t="shared" si="94"/>
        <v>1685180.087036904</v>
      </c>
      <c r="AF127" s="18">
        <f t="shared" si="94"/>
        <v>2729761.377337751</v>
      </c>
      <c r="AG127" s="18">
        <f t="shared" si="94"/>
        <v>2738394.801698435</v>
      </c>
      <c r="AH127" s="18">
        <f t="shared" si="94"/>
        <v>3621168.918973104</v>
      </c>
      <c r="AI127" s="18">
        <f t="shared" si="94"/>
        <v>4259877.276845069</v>
      </c>
      <c r="AJ127" s="18">
        <f t="shared" si="94"/>
        <v>6110962.996383333</v>
      </c>
      <c r="AK127" s="18">
        <f t="shared" si="94"/>
        <v>7345724.735459377</v>
      </c>
      <c r="AL127" s="18">
        <f aca="true" t="shared" si="95" ref="AL127:AS127">AL94*$E$127</f>
        <v>11206224.013664734</v>
      </c>
      <c r="AM127" s="18">
        <f t="shared" si="95"/>
        <v>15269835.219561026</v>
      </c>
      <c r="AN127" s="18">
        <f t="shared" si="95"/>
        <v>19544712.09326976</v>
      </c>
      <c r="AO127" s="18">
        <f t="shared" si="95"/>
        <v>24039300.60828371</v>
      </c>
      <c r="AP127" s="18">
        <f t="shared" si="95"/>
        <v>28762348.807992417</v>
      </c>
      <c r="AQ127" s="18">
        <f t="shared" si="95"/>
        <v>33722916.96034195</v>
      </c>
      <c r="AR127" s="18">
        <f t="shared" si="95"/>
        <v>38930388.04063734</v>
      </c>
      <c r="AS127" s="18">
        <f t="shared" si="95"/>
        <v>44394478.55280459</v>
      </c>
    </row>
    <row r="128" spans="3:45" ht="12.75">
      <c r="C128" s="3" t="str">
        <f>CONCATENATE("Diesel Fuel Inventory Cost @ ",E20)</f>
        <v>Diesel Fuel Inventory Cost @ 0.08</v>
      </c>
      <c r="D128" s="56">
        <v>0.1</v>
      </c>
      <c r="E128" s="21">
        <v>0.1</v>
      </c>
      <c r="F128" s="18">
        <f>F95*$E$128</f>
        <v>743330.3403960001</v>
      </c>
      <c r="G128" s="18">
        <f aca="true" t="shared" si="96" ref="G128:AK128">G95*$E$128</f>
        <v>830894.6544946489</v>
      </c>
      <c r="H128" s="18">
        <f t="shared" si="96"/>
        <v>928774.0447941186</v>
      </c>
      <c r="I128" s="18">
        <f t="shared" si="96"/>
        <v>1038183.6272708657</v>
      </c>
      <c r="J128" s="18">
        <f t="shared" si="96"/>
        <v>1160481.6585633736</v>
      </c>
      <c r="K128" s="18">
        <f t="shared" si="96"/>
        <v>1297186.3979421393</v>
      </c>
      <c r="L128" s="18">
        <f t="shared" si="96"/>
        <v>2047465.156144917</v>
      </c>
      <c r="M128" s="18">
        <f t="shared" si="96"/>
        <v>2080684.43592903</v>
      </c>
      <c r="N128" s="18">
        <f t="shared" si="96"/>
        <v>2000346.897986215</v>
      </c>
      <c r="O128" s="18">
        <f t="shared" si="96"/>
        <v>2098578.32207802</v>
      </c>
      <c r="P128" s="18">
        <f t="shared" si="96"/>
        <v>2133321.590789163</v>
      </c>
      <c r="Q128" s="18">
        <f t="shared" si="96"/>
        <v>2295250.4408784523</v>
      </c>
      <c r="R128" s="18">
        <f t="shared" si="96"/>
        <v>2353845.763791029</v>
      </c>
      <c r="S128" s="18">
        <f t="shared" si="96"/>
        <v>2548097.996123394</v>
      </c>
      <c r="T128" s="18">
        <f t="shared" si="96"/>
        <v>3102760.460775297</v>
      </c>
      <c r="U128" s="18">
        <f t="shared" si="96"/>
        <v>3358905.5809305804</v>
      </c>
      <c r="V128" s="18">
        <f t="shared" si="96"/>
        <v>3702502.5045263343</v>
      </c>
      <c r="W128" s="18">
        <f t="shared" si="96"/>
        <v>3884322.0149768675</v>
      </c>
      <c r="X128" s="18">
        <f t="shared" si="96"/>
        <v>3948629.3806382637</v>
      </c>
      <c r="Y128" s="18">
        <f t="shared" si="96"/>
        <v>4248348.381184735</v>
      </c>
      <c r="Z128" s="18">
        <f t="shared" si="96"/>
        <v>4356804.234544845</v>
      </c>
      <c r="AA128" s="18">
        <f t="shared" si="96"/>
        <v>4716351.5597835155</v>
      </c>
      <c r="AB128" s="18">
        <f t="shared" si="96"/>
        <v>5317586.17788623</v>
      </c>
      <c r="AC128" s="18">
        <f t="shared" si="96"/>
        <v>5330161.019572038</v>
      </c>
      <c r="AD128" s="18">
        <f t="shared" si="96"/>
        <v>4479787.3505692445</v>
      </c>
      <c r="AE128" s="18">
        <f t="shared" si="96"/>
        <v>4357968.571737976</v>
      </c>
      <c r="AF128" s="18">
        <f t="shared" si="96"/>
        <v>6873722.83650502</v>
      </c>
      <c r="AG128" s="18">
        <f t="shared" si="96"/>
        <v>6714179.532616327</v>
      </c>
      <c r="AH128" s="18">
        <f t="shared" si="96"/>
        <v>8645203.65899328</v>
      </c>
      <c r="AI128" s="18">
        <f t="shared" si="96"/>
        <v>9902687.827574119</v>
      </c>
      <c r="AJ128" s="18">
        <f t="shared" si="96"/>
        <v>13832325.854389248</v>
      </c>
      <c r="AK128" s="18">
        <f t="shared" si="96"/>
        <v>16190108.670478323</v>
      </c>
      <c r="AL128" s="18">
        <f aca="true" t="shared" si="97" ref="AL128:AS128">AL95*$E$128</f>
        <v>24049384.724108577</v>
      </c>
      <c r="AM128" s="18">
        <f t="shared" si="97"/>
        <v>31908660.77773883</v>
      </c>
      <c r="AN128" s="18">
        <f t="shared" si="97"/>
        <v>39767936.83136908</v>
      </c>
      <c r="AO128" s="18">
        <f t="shared" si="97"/>
        <v>47627212.884999335</v>
      </c>
      <c r="AP128" s="18">
        <f t="shared" si="97"/>
        <v>55486488.9386296</v>
      </c>
      <c r="AQ128" s="18">
        <f t="shared" si="97"/>
        <v>63345764.99225985</v>
      </c>
      <c r="AR128" s="18">
        <f t="shared" si="97"/>
        <v>71205041.04589011</v>
      </c>
      <c r="AS128" s="18">
        <f t="shared" si="97"/>
        <v>79064317.09952037</v>
      </c>
    </row>
    <row r="129" spans="3:45" ht="12.75">
      <c r="C129" s="3" t="str">
        <f>CONCATENATE("Lube Oil Analysis @ ",E19)</f>
        <v>Lube Oil Analysis @ 0.027</v>
      </c>
      <c r="D129" s="59">
        <v>395</v>
      </c>
      <c r="E129" s="27">
        <v>395</v>
      </c>
      <c r="F129" s="27">
        <f>$E$129*F101*F24</f>
        <v>38710</v>
      </c>
      <c r="G129" s="27">
        <f>$E$129*G101*G24</f>
        <v>41889.75</v>
      </c>
      <c r="H129" s="27">
        <f aca="true" t="shared" si="98" ref="H129:AK129">$E$129*H101*H24</f>
        <v>45290.700000000004</v>
      </c>
      <c r="I129" s="27">
        <f t="shared" si="98"/>
        <v>48469.75875000001</v>
      </c>
      <c r="J129" s="27">
        <f t="shared" si="98"/>
        <v>52333.62159375001</v>
      </c>
      <c r="K129" s="27">
        <f t="shared" si="98"/>
        <v>56462.69632500002</v>
      </c>
      <c r="L129" s="27">
        <f t="shared" si="98"/>
        <v>60873.844475390644</v>
      </c>
      <c r="M129" s="27">
        <f t="shared" si="98"/>
        <v>65584.95070000783</v>
      </c>
      <c r="N129" s="27">
        <f t="shared" si="98"/>
        <v>70614.98293589827</v>
      </c>
      <c r="O129" s="27">
        <f t="shared" si="98"/>
        <v>76596.83066393924</v>
      </c>
      <c r="P129" s="27">
        <f t="shared" si="98"/>
        <v>82356.91232986747</v>
      </c>
      <c r="Q129" s="27">
        <f t="shared" si="98"/>
        <v>89177.09413218462</v>
      </c>
      <c r="R129" s="27">
        <f t="shared" si="98"/>
        <v>95764.03858513008</v>
      </c>
      <c r="S129" s="27">
        <f t="shared" si="98"/>
        <v>103531.5661592573</v>
      </c>
      <c r="T129" s="27">
        <f t="shared" si="98"/>
        <v>111054.36341255585</v>
      </c>
      <c r="U129" s="27">
        <f t="shared" si="98"/>
        <v>119891.7881066536</v>
      </c>
      <c r="V129" s="27">
        <f t="shared" si="98"/>
        <v>129335.31936162976</v>
      </c>
      <c r="W129" s="27">
        <f t="shared" si="98"/>
        <v>139423.47427183687</v>
      </c>
      <c r="X129" s="27">
        <f t="shared" si="98"/>
        <v>150197.10637466062</v>
      </c>
      <c r="Y129" s="27">
        <f t="shared" si="98"/>
        <v>162697.68832926053</v>
      </c>
      <c r="Z129" s="27">
        <f t="shared" si="98"/>
        <v>175024.78311985175</v>
      </c>
      <c r="AA129" s="27">
        <f t="shared" si="98"/>
        <v>189278.29839188757</v>
      </c>
      <c r="AB129" s="27">
        <f t="shared" si="98"/>
        <v>203364.12524895827</v>
      </c>
      <c r="AC129" s="27">
        <f t="shared" si="98"/>
        <v>219598.59092934386</v>
      </c>
      <c r="AD129" s="27">
        <f t="shared" si="98"/>
        <v>236948.09286464562</v>
      </c>
      <c r="AE129" s="27">
        <f t="shared" si="98"/>
        <v>255483.5485161542</v>
      </c>
      <c r="AF129" s="27">
        <f t="shared" si="98"/>
        <v>275280.179500652</v>
      </c>
      <c r="AG129" s="27">
        <f t="shared" si="98"/>
        <v>296417.76471230923</v>
      </c>
      <c r="AH129" s="27">
        <f t="shared" si="98"/>
        <v>320529.3590060717</v>
      </c>
      <c r="AI129" s="27">
        <f t="shared" si="98"/>
        <v>344685.1947572539</v>
      </c>
      <c r="AJ129" s="27">
        <f t="shared" si="98"/>
        <v>372162.4579242237</v>
      </c>
      <c r="AK129" s="27">
        <f t="shared" si="98"/>
        <v>401525.7344209973</v>
      </c>
      <c r="AL129" s="27">
        <f aca="true" t="shared" si="99" ref="AL129:AS129">$E$129*AL101*AL24</f>
        <v>432894.9324226377</v>
      </c>
      <c r="AM129" s="27">
        <f t="shared" si="99"/>
        <v>466397.23588838964</v>
      </c>
      <c r="AN129" s="27">
        <f t="shared" si="99"/>
        <v>502167.5323696602</v>
      </c>
      <c r="AO129" s="27">
        <f t="shared" si="99"/>
        <v>542527.6914795358</v>
      </c>
      <c r="AP129" s="27">
        <f t="shared" si="99"/>
        <v>585668.4476694748</v>
      </c>
      <c r="AQ129" s="27">
        <f t="shared" si="99"/>
        <v>629364.8045073145</v>
      </c>
      <c r="AR129" s="27">
        <f t="shared" si="99"/>
        <v>681011.1529687926</v>
      </c>
      <c r="AS129" s="27">
        <f t="shared" si="99"/>
        <v>733600.3475591603</v>
      </c>
    </row>
    <row r="130" spans="3:45" ht="12.75">
      <c r="C130" s="3" t="str">
        <f>CONCATENATE("Lube Oil Analysis @ ",E20)</f>
        <v>Lube Oil Analysis @ 0.08</v>
      </c>
      <c r="D130" s="59">
        <v>395</v>
      </c>
      <c r="E130" s="27">
        <v>395</v>
      </c>
      <c r="F130" s="27">
        <f>$E$129*F102*F24</f>
        <v>38710</v>
      </c>
      <c r="G130" s="27">
        <f>$E$129*G102*G24</f>
        <v>43963.5</v>
      </c>
      <c r="H130" s="27">
        <f aca="true" t="shared" si="100" ref="H130:AK130">$E$129*H102*H24</f>
        <v>50081.0625</v>
      </c>
      <c r="I130" s="27">
        <f t="shared" si="100"/>
        <v>56700.4725</v>
      </c>
      <c r="J130" s="27">
        <f t="shared" si="100"/>
        <v>63856.62084375001</v>
      </c>
      <c r="K130" s="27">
        <f t="shared" si="100"/>
        <v>72594.89527500002</v>
      </c>
      <c r="L130" s="27">
        <f t="shared" si="100"/>
        <v>82576.69337531252</v>
      </c>
      <c r="M130" s="27">
        <f t="shared" si="100"/>
        <v>93375.18404746878</v>
      </c>
      <c r="N130" s="27">
        <f t="shared" si="100"/>
        <v>105630.67695369906</v>
      </c>
      <c r="O130" s="27">
        <f t="shared" si="100"/>
        <v>120103.83048105672</v>
      </c>
      <c r="P130" s="27">
        <f t="shared" si="100"/>
        <v>136403.636046343</v>
      </c>
      <c r="Q130" s="27">
        <f t="shared" si="100"/>
        <v>154033.16259195525</v>
      </c>
      <c r="R130" s="27">
        <f t="shared" si="100"/>
        <v>175212.7224483491</v>
      </c>
      <c r="S130" s="27">
        <f t="shared" si="100"/>
        <v>198125.15538390246</v>
      </c>
      <c r="T130" s="27">
        <f t="shared" si="100"/>
        <v>225237.01875222594</v>
      </c>
      <c r="U130" s="27">
        <f t="shared" si="100"/>
        <v>255385.93219978953</v>
      </c>
      <c r="V130" s="27">
        <f t="shared" si="100"/>
        <v>288848.8799076398</v>
      </c>
      <c r="W130" s="27">
        <f t="shared" si="100"/>
        <v>327735.6992623698</v>
      </c>
      <c r="X130" s="27">
        <f t="shared" si="100"/>
        <v>371690.3075474197</v>
      </c>
      <c r="Y130" s="27">
        <f t="shared" si="100"/>
        <v>421217.32806716533</v>
      </c>
      <c r="Z130" s="27">
        <f t="shared" si="100"/>
        <v>477911.9826506132</v>
      </c>
      <c r="AA130" s="27">
        <f t="shared" si="100"/>
        <v>542524.4250418638</v>
      </c>
      <c r="AB130" s="27">
        <f t="shared" si="100"/>
        <v>569650.646293957</v>
      </c>
      <c r="AC130" s="27">
        <f t="shared" si="100"/>
        <v>598133.1786086549</v>
      </c>
      <c r="AD130" s="27">
        <f t="shared" si="100"/>
        <v>628039.8375390876</v>
      </c>
      <c r="AE130" s="27">
        <f t="shared" si="100"/>
        <v>659441.829416042</v>
      </c>
      <c r="AF130" s="27">
        <f t="shared" si="100"/>
        <v>692413.920886844</v>
      </c>
      <c r="AG130" s="27">
        <f t="shared" si="100"/>
        <v>727034.6169311863</v>
      </c>
      <c r="AH130" s="27">
        <f t="shared" si="100"/>
        <v>763386.3477777456</v>
      </c>
      <c r="AI130" s="27">
        <f t="shared" si="100"/>
        <v>801555.665166633</v>
      </c>
      <c r="AJ130" s="27">
        <f t="shared" si="100"/>
        <v>841633.4484249646</v>
      </c>
      <c r="AK130" s="27">
        <f t="shared" si="100"/>
        <v>883715.1208462128</v>
      </c>
      <c r="AL130" s="27">
        <f aca="true" t="shared" si="101" ref="AL130:AS130">$E$129*AL102*AL24</f>
        <v>927900.8768885233</v>
      </c>
      <c r="AM130" s="27">
        <f t="shared" si="101"/>
        <v>974295.9207329496</v>
      </c>
      <c r="AN130" s="27">
        <f t="shared" si="101"/>
        <v>1023010.716769597</v>
      </c>
      <c r="AO130" s="27">
        <f t="shared" si="101"/>
        <v>1074161.252608077</v>
      </c>
      <c r="AP130" s="27">
        <f t="shared" si="101"/>
        <v>1127869.3152384807</v>
      </c>
      <c r="AQ130" s="27">
        <f t="shared" si="101"/>
        <v>1184262.7810004046</v>
      </c>
      <c r="AR130" s="27">
        <f t="shared" si="101"/>
        <v>1243475.920050425</v>
      </c>
      <c r="AS130" s="27">
        <f t="shared" si="101"/>
        <v>1305649.7160529462</v>
      </c>
    </row>
    <row r="131" spans="3:45" ht="12.75">
      <c r="C131" s="3" t="s">
        <v>35</v>
      </c>
      <c r="D131" s="59">
        <v>1000</v>
      </c>
      <c r="E131" s="27">
        <v>1000</v>
      </c>
      <c r="F131" s="27">
        <f>$E$131*F101*F$24</f>
        <v>98000</v>
      </c>
      <c r="G131" s="27">
        <f aca="true" t="shared" si="102" ref="G131:AK132">$E$131*G101*G$24</f>
        <v>106050</v>
      </c>
      <c r="H131" s="27">
        <f t="shared" si="102"/>
        <v>114660</v>
      </c>
      <c r="I131" s="27">
        <f t="shared" si="102"/>
        <v>122708.25000000001</v>
      </c>
      <c r="J131" s="27">
        <f t="shared" si="102"/>
        <v>132490.18125000002</v>
      </c>
      <c r="K131" s="27">
        <f t="shared" si="102"/>
        <v>142943.53500000003</v>
      </c>
      <c r="L131" s="27">
        <f t="shared" si="102"/>
        <v>154110.99867187504</v>
      </c>
      <c r="M131" s="27">
        <f t="shared" si="102"/>
        <v>166037.84987343755</v>
      </c>
      <c r="N131" s="27">
        <f t="shared" si="102"/>
        <v>178772.10869847663</v>
      </c>
      <c r="O131" s="27">
        <f t="shared" si="102"/>
        <v>193916.02699731453</v>
      </c>
      <c r="P131" s="27">
        <f t="shared" si="102"/>
        <v>208498.51222751258</v>
      </c>
      <c r="Q131" s="27">
        <f t="shared" si="102"/>
        <v>225764.79527135348</v>
      </c>
      <c r="R131" s="27">
        <f t="shared" si="102"/>
        <v>242440.60401298752</v>
      </c>
      <c r="S131" s="27">
        <f t="shared" si="102"/>
        <v>262105.23078292987</v>
      </c>
      <c r="T131" s="27">
        <f t="shared" si="102"/>
        <v>281150.2871203945</v>
      </c>
      <c r="U131" s="27">
        <f t="shared" si="102"/>
        <v>303523.51419405977</v>
      </c>
      <c r="V131" s="27">
        <f t="shared" si="102"/>
        <v>327431.1882572905</v>
      </c>
      <c r="W131" s="27">
        <f t="shared" si="102"/>
        <v>352970.82094135915</v>
      </c>
      <c r="X131" s="27">
        <f t="shared" si="102"/>
        <v>380245.8389231915</v>
      </c>
      <c r="Y131" s="27">
        <f t="shared" si="102"/>
        <v>411892.88184622925</v>
      </c>
      <c r="Z131" s="27">
        <f t="shared" si="102"/>
        <v>443100.71675911837</v>
      </c>
      <c r="AA131" s="27">
        <f t="shared" si="102"/>
        <v>479185.5655490825</v>
      </c>
      <c r="AB131" s="27">
        <f t="shared" si="102"/>
        <v>514845.8867062235</v>
      </c>
      <c r="AC131" s="27">
        <f t="shared" si="102"/>
        <v>555945.7998211237</v>
      </c>
      <c r="AD131" s="27">
        <f t="shared" si="102"/>
        <v>599868.5895307484</v>
      </c>
      <c r="AE131" s="27">
        <f t="shared" si="102"/>
        <v>646793.7937117828</v>
      </c>
      <c r="AF131" s="27">
        <f t="shared" si="102"/>
        <v>696911.8468370937</v>
      </c>
      <c r="AG131" s="27">
        <f t="shared" si="102"/>
        <v>750424.7207906563</v>
      </c>
      <c r="AH131" s="27">
        <f t="shared" si="102"/>
        <v>811466.7316609409</v>
      </c>
      <c r="AI131" s="27">
        <f t="shared" si="102"/>
        <v>872620.746220896</v>
      </c>
      <c r="AJ131" s="27">
        <f t="shared" si="102"/>
        <v>942183.4377828448</v>
      </c>
      <c r="AK131" s="27">
        <f t="shared" si="102"/>
        <v>1016520.8466354362</v>
      </c>
      <c r="AL131" s="27">
        <f aca="true" t="shared" si="103" ref="AL131:AS131">$E$131*AL101*AL$24</f>
        <v>1095936.5377788297</v>
      </c>
      <c r="AM131" s="27">
        <f t="shared" si="103"/>
        <v>1180752.4959199738</v>
      </c>
      <c r="AN131" s="27">
        <f t="shared" si="103"/>
        <v>1271310.2085307853</v>
      </c>
      <c r="AO131" s="27">
        <f t="shared" si="103"/>
        <v>1373487.8265304703</v>
      </c>
      <c r="AP131" s="27">
        <f t="shared" si="103"/>
        <v>1482704.930808797</v>
      </c>
      <c r="AQ131" s="27">
        <f t="shared" si="103"/>
        <v>1593328.6190058594</v>
      </c>
      <c r="AR131" s="27">
        <f t="shared" si="103"/>
        <v>1724078.8682754242</v>
      </c>
      <c r="AS131" s="27">
        <f t="shared" si="103"/>
        <v>1857216.0697700263</v>
      </c>
    </row>
    <row r="132" spans="3:45" ht="12.75">
      <c r="C132" s="3" t="s">
        <v>36</v>
      </c>
      <c r="D132" s="59">
        <v>1000</v>
      </c>
      <c r="E132" s="27">
        <v>1000</v>
      </c>
      <c r="F132" s="27">
        <f>$E$131*F102*F$24</f>
        <v>98000</v>
      </c>
      <c r="G132" s="27">
        <f t="shared" si="102"/>
        <v>111300</v>
      </c>
      <c r="H132" s="27">
        <f t="shared" si="102"/>
        <v>126787.5</v>
      </c>
      <c r="I132" s="27">
        <f t="shared" si="102"/>
        <v>143545.50000000003</v>
      </c>
      <c r="J132" s="27">
        <f t="shared" si="102"/>
        <v>161662.33125000002</v>
      </c>
      <c r="K132" s="27">
        <f t="shared" si="102"/>
        <v>183784.54500000004</v>
      </c>
      <c r="L132" s="27">
        <f t="shared" si="102"/>
        <v>209054.91993750006</v>
      </c>
      <c r="M132" s="27">
        <f t="shared" si="102"/>
        <v>236392.8710062501</v>
      </c>
      <c r="N132" s="27">
        <f t="shared" si="102"/>
        <v>267419.4353258204</v>
      </c>
      <c r="O132" s="27">
        <f t="shared" si="102"/>
        <v>304060.33033178916</v>
      </c>
      <c r="P132" s="27">
        <f t="shared" si="102"/>
        <v>345325.6608768177</v>
      </c>
      <c r="Q132" s="27">
        <f t="shared" si="102"/>
        <v>389957.37365051964</v>
      </c>
      <c r="R132" s="27">
        <f t="shared" si="102"/>
        <v>443576.51252746605</v>
      </c>
      <c r="S132" s="27">
        <f t="shared" si="102"/>
        <v>501582.6718579809</v>
      </c>
      <c r="T132" s="27">
        <f t="shared" si="102"/>
        <v>570220.3006385467</v>
      </c>
      <c r="U132" s="27">
        <f t="shared" si="102"/>
        <v>646546.6637969356</v>
      </c>
      <c r="V132" s="27">
        <f t="shared" si="102"/>
        <v>731262.9871079489</v>
      </c>
      <c r="W132" s="27">
        <f t="shared" si="102"/>
        <v>829710.6310439742</v>
      </c>
      <c r="X132" s="27">
        <f t="shared" si="102"/>
        <v>940988.1203732144</v>
      </c>
      <c r="Y132" s="27">
        <f t="shared" si="102"/>
        <v>1066372.98244852</v>
      </c>
      <c r="Z132" s="27">
        <f t="shared" si="102"/>
        <v>1209903.753545856</v>
      </c>
      <c r="AA132" s="27">
        <f t="shared" si="102"/>
        <v>1373479.5570680096</v>
      </c>
      <c r="AB132" s="27">
        <f t="shared" si="102"/>
        <v>1442153.53492141</v>
      </c>
      <c r="AC132" s="27">
        <f t="shared" si="102"/>
        <v>1514261.2116674806</v>
      </c>
      <c r="AD132" s="27">
        <f t="shared" si="102"/>
        <v>1589974.2722508546</v>
      </c>
      <c r="AE132" s="27">
        <f t="shared" si="102"/>
        <v>1669472.9858633974</v>
      </c>
      <c r="AF132" s="27">
        <f t="shared" si="102"/>
        <v>1752946.6351565674</v>
      </c>
      <c r="AG132" s="27">
        <f t="shared" si="102"/>
        <v>1840593.9669143956</v>
      </c>
      <c r="AH132" s="27">
        <f t="shared" si="102"/>
        <v>1932623.6652601154</v>
      </c>
      <c r="AI132" s="27">
        <f t="shared" si="102"/>
        <v>2029254.8485231213</v>
      </c>
      <c r="AJ132" s="27">
        <f t="shared" si="102"/>
        <v>2130717.5909492774</v>
      </c>
      <c r="AK132" s="27">
        <f t="shared" si="102"/>
        <v>2237253.470496741</v>
      </c>
      <c r="AL132" s="27">
        <f aca="true" t="shared" si="104" ref="AL132:AS132">$E$131*AL102*AL$24</f>
        <v>2349116.144021578</v>
      </c>
      <c r="AM132" s="27">
        <f t="shared" si="104"/>
        <v>2466571.951222657</v>
      </c>
      <c r="AN132" s="27">
        <f t="shared" si="104"/>
        <v>2589900.54878379</v>
      </c>
      <c r="AO132" s="27">
        <f t="shared" si="104"/>
        <v>2719395.5762229795</v>
      </c>
      <c r="AP132" s="27">
        <f t="shared" si="104"/>
        <v>2855365.3550341283</v>
      </c>
      <c r="AQ132" s="27">
        <f t="shared" si="104"/>
        <v>2998133.6227858346</v>
      </c>
      <c r="AR132" s="27">
        <f t="shared" si="104"/>
        <v>3148040.3039251263</v>
      </c>
      <c r="AS132" s="27">
        <f t="shared" si="104"/>
        <v>3305442.3191213827</v>
      </c>
    </row>
    <row r="133" spans="3:45" ht="12.75">
      <c r="C133" s="3" t="s">
        <v>37</v>
      </c>
      <c r="D133" s="59">
        <v>140000</v>
      </c>
      <c r="E133" s="27">
        <v>140000</v>
      </c>
      <c r="F133" s="27">
        <f>$E$133*F24</f>
        <v>140000</v>
      </c>
      <c r="G133" s="27">
        <f aca="true" t="shared" si="105" ref="G133:T133">$E$133*G24</f>
        <v>147000</v>
      </c>
      <c r="H133" s="27">
        <f t="shared" si="105"/>
        <v>154350</v>
      </c>
      <c r="I133" s="27">
        <f t="shared" si="105"/>
        <v>162067.50000000003</v>
      </c>
      <c r="J133" s="27">
        <f t="shared" si="105"/>
        <v>170170.87500000003</v>
      </c>
      <c r="K133" s="27">
        <f t="shared" si="105"/>
        <v>178679.41875000004</v>
      </c>
      <c r="L133" s="27">
        <f t="shared" si="105"/>
        <v>187613.38968750005</v>
      </c>
      <c r="M133" s="27">
        <f t="shared" si="105"/>
        <v>196994.05917187507</v>
      </c>
      <c r="N133" s="27">
        <f t="shared" si="105"/>
        <v>206843.76213046882</v>
      </c>
      <c r="O133" s="27">
        <f t="shared" si="105"/>
        <v>217185.95023699227</v>
      </c>
      <c r="P133" s="27">
        <f t="shared" si="105"/>
        <v>228045.24774884188</v>
      </c>
      <c r="Q133" s="27">
        <f t="shared" si="105"/>
        <v>239447.510136284</v>
      </c>
      <c r="R133" s="27">
        <f t="shared" si="105"/>
        <v>251419.88564309818</v>
      </c>
      <c r="S133" s="27">
        <f t="shared" si="105"/>
        <v>263990.8799252531</v>
      </c>
      <c r="T133" s="27">
        <f t="shared" si="105"/>
        <v>277190.42392151576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</row>
    <row r="134" spans="3:45" ht="12.75">
      <c r="C134" s="3" t="s">
        <v>53</v>
      </c>
      <c r="D134" s="59"/>
      <c r="E134" s="27">
        <f>NPV(E1833%,F133:T133)</f>
        <v>3020998.9023518288</v>
      </c>
      <c r="F134" s="16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</row>
    <row r="135" spans="3:45" ht="12.75">
      <c r="C135" s="3" t="s">
        <v>38</v>
      </c>
      <c r="D135" s="59">
        <v>8000000</v>
      </c>
      <c r="E135" s="27">
        <v>8000000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3:45" ht="12.75">
      <c r="C136" s="3" t="s">
        <v>39</v>
      </c>
      <c r="D136" s="59">
        <v>1000000</v>
      </c>
      <c r="E136" s="27">
        <v>1000000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3:45" ht="12.75">
      <c r="C137" s="7" t="s">
        <v>86</v>
      </c>
      <c r="E137" s="18">
        <f>E114-E135+E136+E134-E79</f>
        <v>15664998.90235183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3:45" ht="12.75">
      <c r="C138" s="7" t="str">
        <f>CONCATENATE("NPV, Capital Costs @ ",E19)</f>
        <v>NPV, Capital Costs @ 0.027</v>
      </c>
      <c r="E138" s="18">
        <f>E116+E134+E136-E135</f>
        <v>39417479.94401422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3:45" ht="12.75">
      <c r="C139" s="7" t="str">
        <f>CONCATENATE("NPV, Capital Costs @ ",E20)</f>
        <v>NPV, Capital Costs @ 0.08</v>
      </c>
      <c r="E139" s="18">
        <f>E117+E134+E136-E135</f>
        <v>71019274.31662926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3:45" ht="12.75">
      <c r="C140" s="3" t="str">
        <f>CONCATENATE("Total Operating Cost @ ",E19)</f>
        <v>Total Operating Cost @ 0.027</v>
      </c>
      <c r="E140" s="18">
        <f>SUM(F140:AK140)</f>
        <v>1096382321.0370748</v>
      </c>
      <c r="F140" s="18">
        <f>F94+F96+F121+F123+F125+F127+F129+F131+F$133</f>
        <v>12751574.269318797</v>
      </c>
      <c r="G140" s="18">
        <f aca="true" t="shared" si="106" ref="G140:AK141">G94+G96+G121+G123+G125+G127+G129+G131+G$133</f>
        <v>13459463.906280017</v>
      </c>
      <c r="H140" s="18">
        <f t="shared" si="106"/>
        <v>14211077.189865304</v>
      </c>
      <c r="I140" s="18">
        <f t="shared" si="106"/>
        <v>14973353.18471691</v>
      </c>
      <c r="J140" s="18">
        <f t="shared" si="106"/>
        <v>15820599.041631632</v>
      </c>
      <c r="K140" s="18">
        <f t="shared" si="106"/>
        <v>16720225.176100241</v>
      </c>
      <c r="L140" s="18">
        <f t="shared" si="106"/>
        <v>23082753.66783407</v>
      </c>
      <c r="M140" s="18">
        <f t="shared" si="106"/>
        <v>22647633.692039188</v>
      </c>
      <c r="N140" s="18">
        <f t="shared" si="106"/>
        <v>21310529.066106368</v>
      </c>
      <c r="O140" s="18">
        <f t="shared" si="106"/>
        <v>21530084.67941119</v>
      </c>
      <c r="P140" s="18">
        <f t="shared" si="106"/>
        <v>21208511.32010698</v>
      </c>
      <c r="Q140" s="18">
        <f t="shared" si="106"/>
        <v>21861708.06958662</v>
      </c>
      <c r="R140" s="18">
        <f t="shared" si="106"/>
        <v>21710482.422874108</v>
      </c>
      <c r="S140" s="18">
        <f t="shared" si="106"/>
        <v>22495544.10510734</v>
      </c>
      <c r="T140" s="18">
        <f t="shared" si="106"/>
        <v>25716207.361262288</v>
      </c>
      <c r="U140" s="18">
        <f t="shared" si="106"/>
        <v>28124019.169636134</v>
      </c>
      <c r="V140" s="18">
        <f t="shared" si="106"/>
        <v>29831681.02692893</v>
      </c>
      <c r="W140" s="18">
        <f t="shared" si="106"/>
        <v>30272337.96510881</v>
      </c>
      <c r="X140" s="18">
        <f t="shared" si="106"/>
        <v>30148053.65965984</v>
      </c>
      <c r="Y140" s="18">
        <f t="shared" si="106"/>
        <v>31150150.932764202</v>
      </c>
      <c r="Z140" s="18">
        <f t="shared" si="106"/>
        <v>31230400.434978623</v>
      </c>
      <c r="AA140" s="18">
        <f t="shared" si="106"/>
        <v>32497909.469921682</v>
      </c>
      <c r="AB140" s="18">
        <f t="shared" si="106"/>
        <v>36309597.983246766</v>
      </c>
      <c r="AC140" s="18">
        <f t="shared" si="106"/>
        <v>37767299.75264036</v>
      </c>
      <c r="AD140" s="18">
        <f t="shared" si="106"/>
        <v>35266833.969081216</v>
      </c>
      <c r="AE140" s="18">
        <f t="shared" si="106"/>
        <v>36208004.523196936</v>
      </c>
      <c r="AF140" s="18">
        <f t="shared" si="106"/>
        <v>49856269.57300213</v>
      </c>
      <c r="AG140" s="18">
        <f t="shared" si="106"/>
        <v>51031999.20018297</v>
      </c>
      <c r="AH140" s="18">
        <f t="shared" si="106"/>
        <v>62921394.72044189</v>
      </c>
      <c r="AI140" s="18">
        <f t="shared" si="106"/>
        <v>68751310.31558254</v>
      </c>
      <c r="AJ140" s="18">
        <f t="shared" si="106"/>
        <v>97534012.2082848</v>
      </c>
      <c r="AK140" s="18">
        <f t="shared" si="106"/>
        <v>117981298.98017605</v>
      </c>
      <c r="AL140" s="18">
        <f aca="true" t="shared" si="107" ref="AL140:AS140">AL94+AL96+AL121+AL123+AL125+AL127+AL129+AL131+AL$133</f>
        <v>167617272.42068872</v>
      </c>
      <c r="AM140" s="18">
        <f t="shared" si="107"/>
        <v>219149859.01807302</v>
      </c>
      <c r="AN140" s="18">
        <f t="shared" si="107"/>
        <v>273367695.606999</v>
      </c>
      <c r="AO140" s="18">
        <f t="shared" si="107"/>
        <v>330550260.03494346</v>
      </c>
      <c r="AP140" s="18">
        <f t="shared" si="107"/>
        <v>390569325.7772414</v>
      </c>
      <c r="AQ140" s="18">
        <f t="shared" si="107"/>
        <v>453688969.9652763</v>
      </c>
      <c r="AR140" s="18">
        <f t="shared" si="107"/>
        <v>520086789.5572885</v>
      </c>
      <c r="AS140" s="18">
        <f t="shared" si="107"/>
        <v>589758592.5074711</v>
      </c>
    </row>
    <row r="141" spans="3:45" ht="12.75">
      <c r="C141" s="3" t="str">
        <f>CONCATENATE("Total Operating Cost @ ",E20)</f>
        <v>Total Operating Cost @ 0.08</v>
      </c>
      <c r="E141" s="18">
        <f>SUM(F141:AK141)</f>
        <v>2403202310.867511</v>
      </c>
      <c r="F141" s="18">
        <f>F95+F97+F122+F124+F126+F128+F130+F132+F$133</f>
        <v>12751574.269318797</v>
      </c>
      <c r="G141" s="18">
        <f t="shared" si="106"/>
        <v>14135001.433142103</v>
      </c>
      <c r="H141" s="18">
        <f t="shared" si="106"/>
        <v>15698141.414204096</v>
      </c>
      <c r="I141" s="18">
        <f t="shared" si="106"/>
        <v>17425021.496758945</v>
      </c>
      <c r="J141" s="18">
        <f t="shared" si="106"/>
        <v>19333888.62927147</v>
      </c>
      <c r="K141" s="18">
        <f t="shared" si="106"/>
        <v>21523975.737265393</v>
      </c>
      <c r="L141" s="18">
        <f t="shared" si="106"/>
        <v>31297768.79956264</v>
      </c>
      <c r="M141" s="18">
        <f t="shared" si="106"/>
        <v>32331439.63383843</v>
      </c>
      <c r="N141" s="18">
        <f t="shared" si="106"/>
        <v>32060165.589446064</v>
      </c>
      <c r="O141" s="18">
        <f t="shared" si="106"/>
        <v>34115116.99477596</v>
      </c>
      <c r="P141" s="18">
        <f t="shared" si="106"/>
        <v>35496374.23555368</v>
      </c>
      <c r="Q141" s="18">
        <f t="shared" si="106"/>
        <v>38493975.69365637</v>
      </c>
      <c r="R141" s="18">
        <f t="shared" si="106"/>
        <v>40457184.029635586</v>
      </c>
      <c r="S141" s="18">
        <f t="shared" si="106"/>
        <v>44158365.08033524</v>
      </c>
      <c r="T141" s="18">
        <f t="shared" si="106"/>
        <v>52918626.84111818</v>
      </c>
      <c r="U141" s="18">
        <f t="shared" si="106"/>
        <v>59303209.2148918</v>
      </c>
      <c r="V141" s="18">
        <f t="shared" si="106"/>
        <v>65684972.24582011</v>
      </c>
      <c r="W141" s="18">
        <f t="shared" si="106"/>
        <v>70400998.32367337</v>
      </c>
      <c r="X141" s="18">
        <f t="shared" si="106"/>
        <v>74049329.13100524</v>
      </c>
      <c r="Y141" s="18">
        <f t="shared" si="106"/>
        <v>80910431.40266083</v>
      </c>
      <c r="Z141" s="18">
        <f t="shared" si="106"/>
        <v>85799158.75852142</v>
      </c>
      <c r="AA141" s="18">
        <f t="shared" si="106"/>
        <v>94360321.74447002</v>
      </c>
      <c r="AB141" s="18">
        <f t="shared" si="106"/>
        <v>102573118.68608725</v>
      </c>
      <c r="AC141" s="18">
        <f t="shared" si="106"/>
        <v>103581017.03541291</v>
      </c>
      <c r="AD141" s="18">
        <f t="shared" si="106"/>
        <v>94072637.54916793</v>
      </c>
      <c r="AE141" s="18">
        <f t="shared" si="106"/>
        <v>93674352.18373692</v>
      </c>
      <c r="AF141" s="18">
        <f t="shared" si="106"/>
        <v>125716609.52243851</v>
      </c>
      <c r="AG141" s="18">
        <f t="shared" si="106"/>
        <v>124921130.19550595</v>
      </c>
      <c r="AH141" s="18">
        <f t="shared" si="106"/>
        <v>150109460.25053692</v>
      </c>
      <c r="AI141" s="18">
        <f t="shared" si="106"/>
        <v>163779920.5555641</v>
      </c>
      <c r="AJ141" s="18">
        <f t="shared" si="106"/>
        <v>218639611.7654604</v>
      </c>
      <c r="AK141" s="18">
        <f t="shared" si="106"/>
        <v>253429412.42467415</v>
      </c>
      <c r="AL141" s="18">
        <f aca="true" t="shared" si="108" ref="AL141:AS141">AL95+AL97+AL122+AL124+AL126+AL128+AL130+AL132+AL$133</f>
        <v>352239174.84856236</v>
      </c>
      <c r="AM141" s="18">
        <f t="shared" si="108"/>
        <v>451403029.8602651</v>
      </c>
      <c r="AN141" s="18">
        <f t="shared" si="108"/>
        <v>551022352.6386555</v>
      </c>
      <c r="AO141" s="18">
        <f t="shared" si="108"/>
        <v>650900902.1456975</v>
      </c>
      <c r="AP141" s="18">
        <f t="shared" si="108"/>
        <v>751062355.1161927</v>
      </c>
      <c r="AQ141" s="18">
        <f t="shared" si="108"/>
        <v>855315615.4033498</v>
      </c>
      <c r="AR141" s="18">
        <f t="shared" si="108"/>
        <v>953376642.0643553</v>
      </c>
      <c r="AS141" s="18">
        <f t="shared" si="108"/>
        <v>1051438317.1942095</v>
      </c>
    </row>
    <row r="142" spans="3:45" ht="12.75">
      <c r="C142" s="7" t="s">
        <v>144</v>
      </c>
      <c r="E142" s="48"/>
      <c r="F142" s="78">
        <f>F141/F20</f>
        <v>1.7391875086366488</v>
      </c>
      <c r="G142" s="78">
        <f aca="true" t="shared" si="109" ref="G142:AK142">G141/G20</f>
        <v>1.7850677513070146</v>
      </c>
      <c r="H142" s="78">
        <f t="shared" si="109"/>
        <v>1.8356223160783312</v>
      </c>
      <c r="I142" s="78">
        <f t="shared" si="109"/>
        <v>1.8866209766631756</v>
      </c>
      <c r="J142" s="78">
        <f t="shared" si="109"/>
        <v>1.9382366145588765</v>
      </c>
      <c r="K142" s="78">
        <f t="shared" si="109"/>
        <v>1.9979578376601104</v>
      </c>
      <c r="L142" s="78">
        <f t="shared" si="109"/>
        <v>2.690007234071458</v>
      </c>
      <c r="M142" s="78">
        <f t="shared" si="109"/>
        <v>2.573009308792591</v>
      </c>
      <c r="N142" s="78">
        <f t="shared" si="109"/>
        <v>2.3624265786705867</v>
      </c>
      <c r="O142" s="78">
        <f t="shared" si="109"/>
        <v>2.327639231297369</v>
      </c>
      <c r="P142" s="78">
        <f t="shared" si="109"/>
        <v>2.2424823959283784</v>
      </c>
      <c r="Q142" s="78">
        <f t="shared" si="109"/>
        <v>2.25171831451601</v>
      </c>
      <c r="R142" s="78">
        <f t="shared" si="109"/>
        <v>2.191256351533845</v>
      </c>
      <c r="S142" s="78">
        <f t="shared" si="109"/>
        <v>2.2145565114878467</v>
      </c>
      <c r="T142" s="78">
        <f t="shared" si="109"/>
        <v>2.457302329518222</v>
      </c>
      <c r="U142" s="78">
        <f t="shared" si="109"/>
        <v>2.5497903110258924</v>
      </c>
      <c r="V142" s="78">
        <f t="shared" si="109"/>
        <v>2.6149809882829467</v>
      </c>
      <c r="W142" s="78">
        <f t="shared" si="109"/>
        <v>2.595120791995899</v>
      </c>
      <c r="X142" s="78">
        <f t="shared" si="109"/>
        <v>2.527412518826408</v>
      </c>
      <c r="Y142" s="78">
        <f t="shared" si="109"/>
        <v>2.5570296583539665</v>
      </c>
      <c r="Z142" s="78">
        <f t="shared" si="109"/>
        <v>2.5106751425505687</v>
      </c>
      <c r="AA142" s="78">
        <f t="shared" si="109"/>
        <v>2.5566610234584988</v>
      </c>
      <c r="AB142" s="78">
        <f t="shared" si="109"/>
        <v>2.7791839806297687</v>
      </c>
      <c r="AC142" s="78">
        <f t="shared" si="109"/>
        <v>2.806492645730628</v>
      </c>
      <c r="AD142" s="78">
        <f t="shared" si="109"/>
        <v>2.548866317425325</v>
      </c>
      <c r="AE142" s="78">
        <f t="shared" si="109"/>
        <v>2.5380749100711943</v>
      </c>
      <c r="AF142" s="78">
        <f t="shared" si="109"/>
        <v>3.4062490422379956</v>
      </c>
      <c r="AG142" s="78">
        <f t="shared" si="109"/>
        <v>3.3846957987503044</v>
      </c>
      <c r="AH142" s="78">
        <f t="shared" si="109"/>
        <v>4.067165087823918</v>
      </c>
      <c r="AI142" s="78">
        <f t="shared" si="109"/>
        <v>4.43756158911232</v>
      </c>
      <c r="AJ142" s="78">
        <f t="shared" si="109"/>
        <v>5.923966379625134</v>
      </c>
      <c r="AK142" s="78">
        <f t="shared" si="109"/>
        <v>6.8665842693793655</v>
      </c>
      <c r="AL142" s="78">
        <f aca="true" t="shared" si="110" ref="AL142:AS142">AL141/AL20</f>
        <v>9.543801384115985</v>
      </c>
      <c r="AM142" s="78">
        <f t="shared" si="110"/>
        <v>12.230612517834572</v>
      </c>
      <c r="AN142" s="78">
        <f t="shared" si="110"/>
        <v>14.929764396741435</v>
      </c>
      <c r="AO142" s="78">
        <f t="shared" si="110"/>
        <v>17.63593993624132</v>
      </c>
      <c r="AP142" s="78">
        <f t="shared" si="110"/>
        <v>20.34978064946085</v>
      </c>
      <c r="AQ142" s="78">
        <f t="shared" si="110"/>
        <v>23.17448749887628</v>
      </c>
      <c r="AR142" s="78">
        <f t="shared" si="110"/>
        <v>25.831417871193608</v>
      </c>
      <c r="AS142" s="78">
        <f t="shared" si="110"/>
        <v>28.488365813555205</v>
      </c>
    </row>
    <row r="143" spans="3:5" ht="12.75">
      <c r="C143" s="3"/>
      <c r="D143" s="73" t="s">
        <v>89</v>
      </c>
      <c r="E143" t="s">
        <v>92</v>
      </c>
    </row>
    <row r="144" spans="3:45" ht="12.75">
      <c r="C144" t="str">
        <f>CONCATENATE("Total Annual Operating Cost Difference @ ",E19)</f>
        <v>Total Annual Operating Cost Difference @ 0.027</v>
      </c>
      <c r="D144" s="11">
        <f>IRR(E144:AK144)</f>
        <v>0.42649313471781647</v>
      </c>
      <c r="E144" s="13">
        <f>-G6</f>
        <v>-18284520</v>
      </c>
      <c r="F144" s="18">
        <f aca="true" t="shared" si="111" ref="F144:AK145">F140-F86</f>
        <v>6130449.594441531</v>
      </c>
      <c r="G144" s="18">
        <f t="shared" si="111"/>
        <v>6682262.538729138</v>
      </c>
      <c r="H144" s="18">
        <f t="shared" si="111"/>
        <v>7230198.69403885</v>
      </c>
      <c r="I144" s="18">
        <f t="shared" si="111"/>
        <v>7783965.9415500555</v>
      </c>
      <c r="J144" s="18">
        <f t="shared" si="111"/>
        <v>8430493.202797651</v>
      </c>
      <c r="K144" s="18">
        <f t="shared" si="111"/>
        <v>9079301.322700728</v>
      </c>
      <c r="L144" s="18">
        <f t="shared" si="111"/>
        <v>14975296.532849558</v>
      </c>
      <c r="M144" s="18">
        <f t="shared" si="111"/>
        <v>14350621.647285834</v>
      </c>
      <c r="N144" s="18">
        <f t="shared" si="111"/>
        <v>12504527.944875779</v>
      </c>
      <c r="O144" s="18">
        <f t="shared" si="111"/>
        <v>12035147.477328403</v>
      </c>
      <c r="P144" s="18">
        <f t="shared" si="111"/>
        <v>11619087.100143068</v>
      </c>
      <c r="Q144" s="18">
        <f t="shared" si="111"/>
        <v>11978242.865702301</v>
      </c>
      <c r="R144" s="18">
        <f t="shared" si="111"/>
        <v>11460300.220900824</v>
      </c>
      <c r="S144" s="18">
        <f t="shared" si="111"/>
        <v>12084320.053577075</v>
      </c>
      <c r="T144" s="18">
        <f t="shared" si="111"/>
        <v>15106084.98795166</v>
      </c>
      <c r="U144" s="18">
        <f t="shared" si="111"/>
        <v>17221977.551885806</v>
      </c>
      <c r="V144" s="18">
        <f t="shared" si="111"/>
        <v>18674539.95650688</v>
      </c>
      <c r="W144" s="18">
        <f t="shared" si="111"/>
        <v>18805479.003469087</v>
      </c>
      <c r="X144" s="18">
        <f t="shared" si="111"/>
        <v>18334413.796839144</v>
      </c>
      <c r="Y144" s="18">
        <f t="shared" si="111"/>
        <v>19010269.12902376</v>
      </c>
      <c r="Z144" s="18">
        <f t="shared" si="111"/>
        <v>18759572.482457306</v>
      </c>
      <c r="AA144" s="18">
        <f t="shared" si="111"/>
        <v>19736073.82670305</v>
      </c>
      <c r="AB144" s="18">
        <f t="shared" si="111"/>
        <v>23173182.002801187</v>
      </c>
      <c r="AC144" s="18">
        <f t="shared" si="111"/>
        <v>24239392.145767607</v>
      </c>
      <c r="AD144" s="18">
        <f t="shared" si="111"/>
        <v>21358909.86923127</v>
      </c>
      <c r="AE144" s="18">
        <f t="shared" si="111"/>
        <v>21860543.22569516</v>
      </c>
      <c r="AF144" s="18">
        <f t="shared" si="111"/>
        <v>34933873.57050262</v>
      </c>
      <c r="AG144" s="18">
        <f t="shared" si="111"/>
        <v>35450249.26804872</v>
      </c>
      <c r="AH144" s="18">
        <f t="shared" si="111"/>
        <v>46865593.87413157</v>
      </c>
      <c r="AI144" s="18">
        <f t="shared" si="111"/>
        <v>52004934.08944646</v>
      </c>
      <c r="AJ144" s="18">
        <f t="shared" si="111"/>
        <v>80176712.67885208</v>
      </c>
      <c r="AK144" s="18">
        <f t="shared" si="111"/>
        <v>99907446.0220478</v>
      </c>
      <c r="AL144" s="18">
        <f aca="true" t="shared" si="112" ref="AL144:AS144">AL140-AL86</f>
        <v>148200211.27021968</v>
      </c>
      <c r="AM144" s="18">
        <f t="shared" si="112"/>
        <v>198374035.8856153</v>
      </c>
      <c r="AN144" s="18">
        <f t="shared" si="112"/>
        <v>251121743.13462597</v>
      </c>
      <c r="AO144" s="18">
        <f t="shared" si="112"/>
        <v>306766104.4363034</v>
      </c>
      <c r="AP144" s="18">
        <f t="shared" si="112"/>
        <v>365175693.3028444</v>
      </c>
      <c r="AQ144" s="18">
        <f t="shared" si="112"/>
        <v>426611233.7929911</v>
      </c>
      <c r="AR144" s="18">
        <f t="shared" si="112"/>
        <v>491246808.7719308</v>
      </c>
      <c r="AS144" s="18">
        <f t="shared" si="112"/>
        <v>559074542.7183025</v>
      </c>
    </row>
    <row r="145" spans="3:45" ht="12.75">
      <c r="C145" t="str">
        <f>CONCATENATE("Total Annual Operating Cost Difference @ ",E20)</f>
        <v>Total Annual Operating Cost Difference @ 0.08</v>
      </c>
      <c r="D145" s="11">
        <f>IRR(E145:AK145)</f>
        <v>0.4949942553298079</v>
      </c>
      <c r="E145" s="13">
        <f>-G6</f>
        <v>-18284520</v>
      </c>
      <c r="F145" s="18">
        <f t="shared" si="111"/>
        <v>6130449.594441531</v>
      </c>
      <c r="G145" s="18">
        <f t="shared" si="111"/>
        <v>7114299.59191778</v>
      </c>
      <c r="H145" s="18">
        <f t="shared" si="111"/>
        <v>8220306.217336286</v>
      </c>
      <c r="I145" s="18">
        <f t="shared" si="111"/>
        <v>9431419.699032161</v>
      </c>
      <c r="J145" s="18">
        <f t="shared" si="111"/>
        <v>10814021.492709957</v>
      </c>
      <c r="K145" s="18">
        <f t="shared" si="111"/>
        <v>12411096.536725428</v>
      </c>
      <c r="L145" s="18">
        <f t="shared" si="111"/>
        <v>21314684.73261346</v>
      </c>
      <c r="M145" s="18">
        <f t="shared" si="111"/>
        <v>21705672.729520373</v>
      </c>
      <c r="N145" s="18">
        <f t="shared" si="111"/>
        <v>20322289.46779712</v>
      </c>
      <c r="O145" s="18">
        <f t="shared" si="111"/>
        <v>21216232.239156306</v>
      </c>
      <c r="P145" s="18">
        <f t="shared" si="111"/>
        <v>22040500.787955202</v>
      </c>
      <c r="Q145" s="18">
        <f t="shared" si="111"/>
        <v>24101656.914201103</v>
      </c>
      <c r="R145" s="18">
        <f t="shared" si="111"/>
        <v>25044544.563520588</v>
      </c>
      <c r="S145" s="18">
        <f t="shared" si="111"/>
        <v>27984039.095716245</v>
      </c>
      <c r="T145" s="18">
        <f t="shared" si="111"/>
        <v>35867874.014277525</v>
      </c>
      <c r="U145" s="18">
        <f t="shared" si="111"/>
        <v>41228297.430677295</v>
      </c>
      <c r="V145" s="18">
        <f t="shared" si="111"/>
        <v>46474476.45752042</v>
      </c>
      <c r="W145" s="18">
        <f t="shared" si="111"/>
        <v>49919289.063413486</v>
      </c>
      <c r="X145" s="18">
        <f t="shared" si="111"/>
        <v>52208022.18086245</v>
      </c>
      <c r="Y145" s="18">
        <f t="shared" si="111"/>
        <v>57589758.792729095</v>
      </c>
      <c r="Z145" s="18">
        <f t="shared" si="111"/>
        <v>61045760.37930919</v>
      </c>
      <c r="AA145" s="18">
        <f t="shared" si="111"/>
        <v>68068638.45031106</v>
      </c>
      <c r="AB145" s="18">
        <f t="shared" si="111"/>
        <v>76198182.10439841</v>
      </c>
      <c r="AC145" s="18">
        <f t="shared" si="111"/>
        <v>77093963.92023689</v>
      </c>
      <c r="AD145" s="18">
        <f t="shared" si="111"/>
        <v>67402679.98354766</v>
      </c>
      <c r="AE145" s="18">
        <f t="shared" si="111"/>
        <v>66804797.545222744</v>
      </c>
      <c r="AF145" s="18">
        <f t="shared" si="111"/>
        <v>98328034.56035948</v>
      </c>
      <c r="AG145" s="18">
        <f t="shared" si="111"/>
        <v>96844183.29506192</v>
      </c>
      <c r="AH145" s="18">
        <f t="shared" si="111"/>
        <v>121832551.79160342</v>
      </c>
      <c r="AI145" s="18">
        <f t="shared" si="111"/>
        <v>134925974.3728352</v>
      </c>
      <c r="AJ145" s="18">
        <f t="shared" si="111"/>
        <v>189324548.82590047</v>
      </c>
      <c r="AK145" s="18">
        <f t="shared" si="111"/>
        <v>223452469.92851308</v>
      </c>
      <c r="AL145" s="18">
        <f aca="true" t="shared" si="113" ref="AL145:AS145">AL141-AL87</f>
        <v>320396725.70194626</v>
      </c>
      <c r="AM145" s="18">
        <f t="shared" si="113"/>
        <v>417670411.4572845</v>
      </c>
      <c r="AN145" s="18">
        <f t="shared" si="113"/>
        <v>515373669.2431057</v>
      </c>
      <c r="AO145" s="18">
        <f t="shared" si="113"/>
        <v>613308963.2345632</v>
      </c>
      <c r="AP145" s="18">
        <f t="shared" si="113"/>
        <v>711498610.6403081</v>
      </c>
      <c r="AQ145" s="18">
        <f t="shared" si="113"/>
        <v>813750087.8110908</v>
      </c>
      <c r="AR145" s="18">
        <f t="shared" si="113"/>
        <v>909777854.9265165</v>
      </c>
      <c r="AS145" s="18">
        <f t="shared" si="113"/>
        <v>1005773220.2601253</v>
      </c>
    </row>
    <row r="146" ht="12.75">
      <c r="D146" s="73" t="s">
        <v>90</v>
      </c>
    </row>
    <row r="147" spans="3:45" ht="12.75">
      <c r="C147" t="s">
        <v>88</v>
      </c>
      <c r="D147" s="10">
        <f>NPV(E21,E147:AK147)</f>
        <v>-101768966.41546187</v>
      </c>
      <c r="E147" s="13">
        <f>-F6</f>
        <v>-15664998.90235183</v>
      </c>
      <c r="F147" s="18">
        <f>-F144</f>
        <v>-6130449.594441531</v>
      </c>
      <c r="G147" s="18">
        <f aca="true" t="shared" si="114" ref="G147:AK148">-G144</f>
        <v>-6682262.538729138</v>
      </c>
      <c r="H147" s="18">
        <f t="shared" si="114"/>
        <v>-7230198.69403885</v>
      </c>
      <c r="I147" s="18">
        <f t="shared" si="114"/>
        <v>-7783965.9415500555</v>
      </c>
      <c r="J147" s="18">
        <f t="shared" si="114"/>
        <v>-8430493.202797651</v>
      </c>
      <c r="K147" s="18">
        <f t="shared" si="114"/>
        <v>-9079301.322700728</v>
      </c>
      <c r="L147" s="18">
        <f t="shared" si="114"/>
        <v>-14975296.532849558</v>
      </c>
      <c r="M147" s="18">
        <f t="shared" si="114"/>
        <v>-14350621.647285834</v>
      </c>
      <c r="N147" s="18">
        <f t="shared" si="114"/>
        <v>-12504527.944875779</v>
      </c>
      <c r="O147" s="18">
        <f t="shared" si="114"/>
        <v>-12035147.477328403</v>
      </c>
      <c r="P147" s="18">
        <f t="shared" si="114"/>
        <v>-11619087.100143068</v>
      </c>
      <c r="Q147" s="18">
        <f t="shared" si="114"/>
        <v>-11978242.865702301</v>
      </c>
      <c r="R147" s="18">
        <f t="shared" si="114"/>
        <v>-11460300.220900824</v>
      </c>
      <c r="S147" s="18">
        <f t="shared" si="114"/>
        <v>-12084320.053577075</v>
      </c>
      <c r="T147" s="18">
        <f t="shared" si="114"/>
        <v>-15106084.98795166</v>
      </c>
      <c r="U147" s="18">
        <f t="shared" si="114"/>
        <v>-17221977.551885806</v>
      </c>
      <c r="V147" s="18">
        <f t="shared" si="114"/>
        <v>-18674539.95650688</v>
      </c>
      <c r="W147" s="18">
        <f t="shared" si="114"/>
        <v>-18805479.003469087</v>
      </c>
      <c r="X147" s="18">
        <f t="shared" si="114"/>
        <v>-18334413.796839144</v>
      </c>
      <c r="Y147" s="18">
        <f t="shared" si="114"/>
        <v>-19010269.12902376</v>
      </c>
      <c r="Z147" s="18">
        <f t="shared" si="114"/>
        <v>-18759572.482457306</v>
      </c>
      <c r="AA147" s="18">
        <f t="shared" si="114"/>
        <v>-19736073.82670305</v>
      </c>
      <c r="AB147" s="18">
        <f t="shared" si="114"/>
        <v>-23173182.002801187</v>
      </c>
      <c r="AC147" s="18">
        <f t="shared" si="114"/>
        <v>-24239392.145767607</v>
      </c>
      <c r="AD147" s="18">
        <f t="shared" si="114"/>
        <v>-21358909.86923127</v>
      </c>
      <c r="AE147" s="18">
        <f t="shared" si="114"/>
        <v>-21860543.22569516</v>
      </c>
      <c r="AF147" s="18">
        <f t="shared" si="114"/>
        <v>-34933873.57050262</v>
      </c>
      <c r="AG147" s="18">
        <f t="shared" si="114"/>
        <v>-35450249.26804872</v>
      </c>
      <c r="AH147" s="18">
        <f t="shared" si="114"/>
        <v>-46865593.87413157</v>
      </c>
      <c r="AI147" s="18">
        <f t="shared" si="114"/>
        <v>-52004934.08944646</v>
      </c>
      <c r="AJ147" s="18">
        <f t="shared" si="114"/>
        <v>-80176712.67885208</v>
      </c>
      <c r="AK147" s="18">
        <f t="shared" si="114"/>
        <v>-99907446.0220478</v>
      </c>
      <c r="AL147" s="18">
        <f aca="true" t="shared" si="115" ref="AL147:AS147">-AL144</f>
        <v>-148200211.27021968</v>
      </c>
      <c r="AM147" s="18">
        <f t="shared" si="115"/>
        <v>-198374035.8856153</v>
      </c>
      <c r="AN147" s="18">
        <f t="shared" si="115"/>
        <v>-251121743.13462597</v>
      </c>
      <c r="AO147" s="18">
        <f t="shared" si="115"/>
        <v>-306766104.4363034</v>
      </c>
      <c r="AP147" s="18">
        <f t="shared" si="115"/>
        <v>-365175693.3028444</v>
      </c>
      <c r="AQ147" s="18">
        <f t="shared" si="115"/>
        <v>-426611233.7929911</v>
      </c>
      <c r="AR147" s="18">
        <f t="shared" si="115"/>
        <v>-491246808.7719308</v>
      </c>
      <c r="AS147" s="18">
        <f t="shared" si="115"/>
        <v>-559074542.7183025</v>
      </c>
    </row>
    <row r="148" spans="4:45" ht="12.75">
      <c r="D148" s="10">
        <f>NPV(E22,E148:AK148)</f>
        <v>-286552305.25008786</v>
      </c>
      <c r="E148" s="13">
        <f>-F6</f>
        <v>-15664998.90235183</v>
      </c>
      <c r="F148" s="18">
        <f>-F145</f>
        <v>-6130449.594441531</v>
      </c>
      <c r="G148" s="18">
        <f t="shared" si="114"/>
        <v>-7114299.59191778</v>
      </c>
      <c r="H148" s="18">
        <f t="shared" si="114"/>
        <v>-8220306.217336286</v>
      </c>
      <c r="I148" s="18">
        <f t="shared" si="114"/>
        <v>-9431419.699032161</v>
      </c>
      <c r="J148" s="18">
        <f t="shared" si="114"/>
        <v>-10814021.492709957</v>
      </c>
      <c r="K148" s="18">
        <f t="shared" si="114"/>
        <v>-12411096.536725428</v>
      </c>
      <c r="L148" s="18">
        <f t="shared" si="114"/>
        <v>-21314684.73261346</v>
      </c>
      <c r="M148" s="18">
        <f t="shared" si="114"/>
        <v>-21705672.729520373</v>
      </c>
      <c r="N148" s="18">
        <f t="shared" si="114"/>
        <v>-20322289.46779712</v>
      </c>
      <c r="O148" s="18">
        <f t="shared" si="114"/>
        <v>-21216232.239156306</v>
      </c>
      <c r="P148" s="18">
        <f t="shared" si="114"/>
        <v>-22040500.787955202</v>
      </c>
      <c r="Q148" s="18">
        <f t="shared" si="114"/>
        <v>-24101656.914201103</v>
      </c>
      <c r="R148" s="18">
        <f t="shared" si="114"/>
        <v>-25044544.563520588</v>
      </c>
      <c r="S148" s="18">
        <f t="shared" si="114"/>
        <v>-27984039.095716245</v>
      </c>
      <c r="T148" s="18">
        <f t="shared" si="114"/>
        <v>-35867874.014277525</v>
      </c>
      <c r="U148" s="18">
        <f t="shared" si="114"/>
        <v>-41228297.430677295</v>
      </c>
      <c r="V148" s="18">
        <f t="shared" si="114"/>
        <v>-46474476.45752042</v>
      </c>
      <c r="W148" s="18">
        <f t="shared" si="114"/>
        <v>-49919289.063413486</v>
      </c>
      <c r="X148" s="18">
        <f t="shared" si="114"/>
        <v>-52208022.18086245</v>
      </c>
      <c r="Y148" s="18">
        <f t="shared" si="114"/>
        <v>-57589758.792729095</v>
      </c>
      <c r="Z148" s="18">
        <f t="shared" si="114"/>
        <v>-61045760.37930919</v>
      </c>
      <c r="AA148" s="18">
        <f t="shared" si="114"/>
        <v>-68068638.45031106</v>
      </c>
      <c r="AB148" s="18">
        <f t="shared" si="114"/>
        <v>-76198182.10439841</v>
      </c>
      <c r="AC148" s="18">
        <f t="shared" si="114"/>
        <v>-77093963.92023689</v>
      </c>
      <c r="AD148" s="18">
        <f t="shared" si="114"/>
        <v>-67402679.98354766</v>
      </c>
      <c r="AE148" s="18">
        <f t="shared" si="114"/>
        <v>-66804797.545222744</v>
      </c>
      <c r="AF148" s="18">
        <f t="shared" si="114"/>
        <v>-98328034.56035948</v>
      </c>
      <c r="AG148" s="18">
        <f t="shared" si="114"/>
        <v>-96844183.29506192</v>
      </c>
      <c r="AH148" s="18">
        <f t="shared" si="114"/>
        <v>-121832551.79160342</v>
      </c>
      <c r="AI148" s="18">
        <f t="shared" si="114"/>
        <v>-134925974.3728352</v>
      </c>
      <c r="AJ148" s="18">
        <f t="shared" si="114"/>
        <v>-189324548.82590047</v>
      </c>
      <c r="AK148" s="18">
        <f t="shared" si="114"/>
        <v>-223452469.92851308</v>
      </c>
      <c r="AL148" s="18">
        <f aca="true" t="shared" si="116" ref="AL148:AS148">-AL145</f>
        <v>-320396725.70194626</v>
      </c>
      <c r="AM148" s="18">
        <f t="shared" si="116"/>
        <v>-417670411.4572845</v>
      </c>
      <c r="AN148" s="18">
        <f t="shared" si="116"/>
        <v>-515373669.2431057</v>
      </c>
      <c r="AO148" s="18">
        <f t="shared" si="116"/>
        <v>-613308963.2345632</v>
      </c>
      <c r="AP148" s="18">
        <f t="shared" si="116"/>
        <v>-711498610.6403081</v>
      </c>
      <c r="AQ148" s="18">
        <f t="shared" si="116"/>
        <v>-813750087.8110908</v>
      </c>
      <c r="AR148" s="18">
        <f t="shared" si="116"/>
        <v>-909777854.9265165</v>
      </c>
      <c r="AS148" s="18">
        <f t="shared" si="116"/>
        <v>-1005773220.2601253</v>
      </c>
    </row>
    <row r="149" spans="3:4" ht="12.75">
      <c r="C149" t="s">
        <v>91</v>
      </c>
      <c r="D149" s="9">
        <f>(E147-D147)/E147</f>
        <v>-5.496583054352018</v>
      </c>
    </row>
    <row r="150" spans="3:6" ht="12.75">
      <c r="C150" t="s">
        <v>91</v>
      </c>
      <c r="D150" s="9">
        <f>(E148-D148)/E148</f>
        <v>-17.292519969922687</v>
      </c>
      <c r="F150" s="11"/>
    </row>
    <row r="152" ht="12.75">
      <c r="F152" s="19">
        <v>7331914000</v>
      </c>
    </row>
    <row r="153" ht="12.75">
      <c r="F153" s="92">
        <f>F140/F152</f>
        <v>0.0017391876485892766</v>
      </c>
    </row>
  </sheetData>
  <sheetProtection/>
  <mergeCells count="3">
    <mergeCell ref="A2:A3"/>
    <mergeCell ref="B2:B3"/>
    <mergeCell ref="C2:AK3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Sol</dc:creator>
  <cp:keywords/>
  <dc:description/>
  <cp:lastModifiedBy>Milwaukee</cp:lastModifiedBy>
  <dcterms:created xsi:type="dcterms:W3CDTF">2007-03-16T00:52:58Z</dcterms:created>
  <dcterms:modified xsi:type="dcterms:W3CDTF">2014-02-09T21:44:28Z</dcterms:modified>
  <cp:category/>
  <cp:version/>
  <cp:contentType/>
  <cp:contentStatus/>
</cp:coreProperties>
</file>