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296" windowWidth="15195" windowHeight="9210" activeTab="0"/>
  </bookViews>
  <sheets>
    <sheet name="Sheet1" sheetId="1" r:id="rId1"/>
    <sheet name="Sheet2" sheetId="2" r:id="rId2"/>
  </sheets>
  <definedNames>
    <definedName name="solver_adj" localSheetId="0" hidden="1">'Sheet1'!$F$12:$F$14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'Sheet1'!$F$12</definedName>
    <definedName name="solver_lhs2" localSheetId="0" hidden="1">'Sheet1'!$F$12</definedName>
    <definedName name="solver_lhs3" localSheetId="0" hidden="1">'Sheet1'!$F$13</definedName>
    <definedName name="solver_lhs4" localSheetId="0" hidden="1">'Sheet1'!$F$13</definedName>
    <definedName name="solver_lhs5" localSheetId="0" hidden="1">'Sheet1'!$F$14</definedName>
    <definedName name="solver_lhs6" localSheetId="0" hidden="1">'Sheet1'!$F$14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6</definedName>
    <definedName name="solver_nwt" localSheetId="0" hidden="1">1</definedName>
    <definedName name="solver_ofx" localSheetId="0" hidden="1">2</definedName>
    <definedName name="solver_opt" localSheetId="0" hidden="1">'Sheet1'!$I$19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o" localSheetId="0" hidden="1">2</definedName>
    <definedName name="solver_rep" localSheetId="0" hidden="1">2</definedName>
    <definedName name="solver_rhs1" localSheetId="0" hidden="1">50</definedName>
    <definedName name="solver_rhs2" localSheetId="0" hidden="1">0</definedName>
    <definedName name="solver_rhs3" localSheetId="0" hidden="1">60</definedName>
    <definedName name="solver_rhs4" localSheetId="0" hidden="1">15</definedName>
    <definedName name="solver_rhs5" localSheetId="0" hidden="1">30</definedName>
    <definedName name="solver_rhs6" localSheetId="0" hidden="1">5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<sst xmlns="http://schemas.openxmlformats.org/spreadsheetml/2006/main" count="190" uniqueCount="168">
  <si>
    <t>Labor Inefficiency</t>
  </si>
  <si>
    <t>Time for meets (hours)</t>
  </si>
  <si>
    <t>Number of meets</t>
  </si>
  <si>
    <t>CTC</t>
  </si>
  <si>
    <t>ABS</t>
  </si>
  <si>
    <t>Minutes in one day</t>
  </si>
  <si>
    <t>Train Order</t>
  </si>
  <si>
    <t>Minutes to clear main line between sidings</t>
  </si>
  <si>
    <t>Direction factor</t>
  </si>
  <si>
    <t>System efficiency</t>
  </si>
  <si>
    <t>Superior direction</t>
  </si>
  <si>
    <t>No</t>
  </si>
  <si>
    <t>System Type</t>
  </si>
  <si>
    <t>Siding spacing in miles</t>
  </si>
  <si>
    <t>Moving Hours</t>
  </si>
  <si>
    <t>Capacity Model -- Single Track Mainline</t>
  </si>
  <si>
    <t>Yes</t>
  </si>
  <si>
    <t>Data Tables</t>
  </si>
  <si>
    <t>Siding Hours</t>
  </si>
  <si>
    <t>Superior Direction</t>
  </si>
  <si>
    <t>Total Train Hours</t>
  </si>
  <si>
    <t>Modified Poole Algorithm</t>
  </si>
  <si>
    <t>Theoretical</t>
  </si>
  <si>
    <t>© Transportation Econometrics, Inc.</t>
  </si>
  <si>
    <t>Cars</t>
  </si>
  <si>
    <t>Revenue/car</t>
  </si>
  <si>
    <t>Labor</t>
  </si>
  <si>
    <t>Fuel</t>
  </si>
  <si>
    <t>Other VC</t>
  </si>
  <si>
    <t>Average Train</t>
  </si>
  <si>
    <t>VC/Carload</t>
  </si>
  <si>
    <t>FC/Carload</t>
  </si>
  <si>
    <t>Haul Time (days)</t>
  </si>
  <si>
    <t>Locomotives/train</t>
  </si>
  <si>
    <t>Labor Cost</t>
  </si>
  <si>
    <t>Locomotive Type</t>
  </si>
  <si>
    <t>Fuel used per hour</t>
  </si>
  <si>
    <t>Fuel used at idle</t>
  </si>
  <si>
    <t>Fuel Use Data</t>
  </si>
  <si>
    <t>Throttle 8</t>
  </si>
  <si>
    <t>Idle</t>
  </si>
  <si>
    <t>Locomotive</t>
  </si>
  <si>
    <t>Gal/hr</t>
  </si>
  <si>
    <t>SD-10</t>
  </si>
  <si>
    <t>GP-20</t>
  </si>
  <si>
    <t>GP-40</t>
  </si>
  <si>
    <t>SD-40-2</t>
  </si>
  <si>
    <t>SD-45</t>
  </si>
  <si>
    <t>FP-45</t>
  </si>
  <si>
    <t>SD-60</t>
  </si>
  <si>
    <t>SD-70</t>
  </si>
  <si>
    <t>SD-90</t>
  </si>
  <si>
    <t>Cost of Fuel</t>
  </si>
  <si>
    <t>Crew Size</t>
  </si>
  <si>
    <t>Road Engines</t>
  </si>
  <si>
    <t>Turnout Cost</t>
  </si>
  <si>
    <t>ROW Cost</t>
  </si>
  <si>
    <t>CTC per location</t>
  </si>
  <si>
    <t>Interest Charges</t>
  </si>
  <si>
    <t>Cost of Physical Plant</t>
  </si>
  <si>
    <t>CTC cost</t>
  </si>
  <si>
    <t>Annual Charges</t>
  </si>
  <si>
    <t>Charges per Day</t>
  </si>
  <si>
    <t>Track/cost per mile*</t>
  </si>
  <si>
    <t>RCAF</t>
  </si>
  <si>
    <t>Revenue/Carload</t>
  </si>
  <si>
    <t>Annual Cost</t>
  </si>
  <si>
    <t>Equipment Costs</t>
  </si>
  <si>
    <t>Interest Rate</t>
  </si>
  <si>
    <t>Line Haul (miles)</t>
  </si>
  <si>
    <t>Total Fixed Costs</t>
  </si>
  <si>
    <t xml:space="preserve">From </t>
  </si>
  <si>
    <t>PUBLIC SERVICE COMPANY OF COLORADO D/B/A XCEL ENERGY V. THE BURLINGTON NORTHERN AND SANTA FE RAILWAY COMPANY</t>
  </si>
  <si>
    <t>Route Miles</t>
  </si>
  <si>
    <t>Track Miles</t>
  </si>
  <si>
    <t>Train and Engine Personnel</t>
  </si>
  <si>
    <t>Locomotive ownership</t>
  </si>
  <si>
    <t>Locomotive Maintenance</t>
  </si>
  <si>
    <t>Locomotive Operations</t>
  </si>
  <si>
    <t>Railcar</t>
  </si>
  <si>
    <t>Materials and supplies</t>
  </si>
  <si>
    <t>Ad Valorem Tax</t>
  </si>
  <si>
    <t>Operating Managers</t>
  </si>
  <si>
    <t>General &amp; Administrative</t>
  </si>
  <si>
    <t>Loss &amp; Damage</t>
  </si>
  <si>
    <t>MOW</t>
  </si>
  <si>
    <t>Insurance</t>
  </si>
  <si>
    <t>Total</t>
  </si>
  <si>
    <t>Cost  (millions)</t>
  </si>
  <si>
    <t>%</t>
  </si>
  <si>
    <t>Per Mile</t>
  </si>
  <si>
    <t xml:space="preserve">Fixed Costs per mile </t>
  </si>
  <si>
    <t>Total Variable Costs per mile</t>
  </si>
  <si>
    <t>Total Possible Revenue</t>
  </si>
  <si>
    <t>Flat Terrain</t>
  </si>
  <si>
    <t>Rolling Terrain</t>
  </si>
  <si>
    <t>Mountain Territory</t>
  </si>
  <si>
    <t>Version 1.0</t>
  </si>
  <si>
    <t>Siding Delay for each meet (minutes)</t>
  </si>
  <si>
    <t>Average running speed mph.</t>
  </si>
  <si>
    <t>Cycle Time (days)</t>
  </si>
  <si>
    <t>ABS Cost</t>
  </si>
  <si>
    <t>ABS per location</t>
  </si>
  <si>
    <t xml:space="preserve">Total VC </t>
  </si>
  <si>
    <t>Transit Time (hours)</t>
  </si>
  <si>
    <t>% of other VC</t>
  </si>
  <si>
    <t>Miles of Railroad</t>
  </si>
  <si>
    <t>Carload Costs</t>
  </si>
  <si>
    <t>Carload Profit</t>
  </si>
  <si>
    <t>% Net</t>
  </si>
  <si>
    <t>Capacity Measures -- Division</t>
  </si>
  <si>
    <t>Total Investment --Divison at Capacity</t>
  </si>
  <si>
    <t>Total Costs</t>
  </si>
  <si>
    <t>Total Revenue</t>
  </si>
  <si>
    <t>% Empty Backhaul</t>
  </si>
  <si>
    <t>Capital Costs</t>
  </si>
  <si>
    <t>Box/Hopper Cars</t>
  </si>
  <si>
    <t>Years Financed</t>
  </si>
  <si>
    <t>Locomotives</t>
  </si>
  <si>
    <t>Cost per day</t>
  </si>
  <si>
    <t>Physical Plant</t>
  </si>
  <si>
    <t>Year Constructed</t>
  </si>
  <si>
    <t>ROW Type</t>
  </si>
  <si>
    <t>Siding Length (ft.)</t>
  </si>
  <si>
    <t>Labor Rate per hour</t>
  </si>
  <si>
    <t>Division Length (Miles)</t>
  </si>
  <si>
    <t>Net Profit*</t>
  </si>
  <si>
    <t>Profit %*</t>
  </si>
  <si>
    <t>ROI (annualized)*</t>
  </si>
  <si>
    <t>* These numbers are generated for the "railroad" as a whole -- adding costs of yard service at each end. The surrogate for yard costs used is the "division" cost, times the number of yards.</t>
  </si>
  <si>
    <t xml:space="preserve">Modified straight mileage prorate -- Public Service Co. of Colorado, d/b/a XCEL Energy v. BNSF Railway Co, STB </t>
  </si>
  <si>
    <t>Road property investment  Duke Energy Co. v. CSX Transportation, STB Docket No. 42070</t>
  </si>
  <si>
    <t>Property Investment Surrogate -- 1,680,000 * route miles + $7.39 * tons</t>
  </si>
  <si>
    <t>Ernest Poole, Costs -- a Tool for Railroad Management, Simmons-Boardman Publishing Co., 1962.</t>
  </si>
  <si>
    <t>System R/VC</t>
  </si>
  <si>
    <t>Costs</t>
  </si>
  <si>
    <t>Enter Data</t>
  </si>
  <si>
    <t>Annual Salary**</t>
  </si>
  <si>
    <t>** including benefits</t>
  </si>
  <si>
    <t>Overhead</t>
  </si>
  <si>
    <t>Depreciation Prorate***</t>
  </si>
  <si>
    <t>*** Includes an adjustment for depreciation of the investment adjusted for number of trains per day</t>
  </si>
  <si>
    <t>Capacity/Trains per Day</t>
  </si>
  <si>
    <t>Congestion Factor</t>
  </si>
  <si>
    <t>Number of Trains</t>
  </si>
  <si>
    <t># of Meets</t>
  </si>
  <si>
    <t xml:space="preserve">Train Capacity </t>
  </si>
  <si>
    <t>Depreciation</t>
  </si>
  <si>
    <t>Total VC</t>
  </si>
  <si>
    <t>Variable Costs/Ton Mile</t>
  </si>
  <si>
    <t>Fixed Costs Per Ton Mile</t>
  </si>
  <si>
    <t>Crew&amp;Equip/Train</t>
  </si>
  <si>
    <t>Mainline Hours/Train</t>
  </si>
  <si>
    <t>Siding Hour Per traion</t>
  </si>
  <si>
    <t>Labor****</t>
  </si>
  <si>
    <t>**** Adds overtime of 1.5x pay, for transit time exceeding 8 hours.</t>
  </si>
  <si>
    <t>Revenue/ton-mile</t>
  </si>
  <si>
    <t>Profit %</t>
  </si>
  <si>
    <t>Net Profit</t>
  </si>
  <si>
    <t># Trains Maximum Efficiency</t>
  </si>
  <si>
    <t>Maximum Profit</t>
  </si>
  <si>
    <t># Trains at Maximum Profit</t>
  </si>
  <si>
    <t xml:space="preserve"> Capital Cost</t>
  </si>
  <si>
    <t>Note: Change ONLY the beige colored cells in Column F. Do not click on any other cells.</t>
  </si>
  <si>
    <t>Trains</t>
  </si>
  <si>
    <t>U.S. Army Corps of Engineers, Tennessee Valley Authority, Lewis College of Business, Marshall University, "The Incremental Cost of Transportation Capacity in Freight Railroading: an Application to the Snake River Basin," July, 1998.</t>
  </si>
  <si>
    <t>Revenue per 1000 Ton Miles</t>
  </si>
  <si>
    <t>Cost per 1000 Ton Miles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</si>
</sst>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%"/>
    <numFmt numFmtId="167" formatCode="&quot;$&quot;#,##0.00"/>
    <numFmt numFmtId="168" formatCode="&quot;$&quot;#,##0.0"/>
    <numFmt numFmtId="169" formatCode="&quot;$&quot;#,##0;[Red]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;[Red]&quot;$&quot;#,##0.00"/>
    <numFmt numFmtId="175" formatCode="&quot;$&quot;#,##0.000"/>
    <numFmt numFmtId="176" formatCode="&quot;$&quot;#,##0.0000"/>
  </numFmts>
  <fonts count="1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b/>
      <sz val="10"/>
      <name val="Verdana"/>
      <family val="2"/>
    </font>
    <font>
      <b/>
      <sz val="9"/>
      <name val="Arial"/>
      <family val="0"/>
    </font>
    <font>
      <b/>
      <sz val="16"/>
      <name val="Arial"/>
      <family val="0"/>
    </font>
    <font>
      <b/>
      <sz val="16"/>
      <color indexed="8"/>
      <name val="Arial"/>
      <family val="0"/>
    </font>
    <font>
      <u val="single"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9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>
        <color indexed="8"/>
      </left>
      <right style="thick"/>
      <top style="thin">
        <color indexed="8"/>
      </top>
      <bottom style="medium"/>
    </border>
    <border>
      <left style="thin">
        <color indexed="8"/>
      </left>
      <right style="thick"/>
      <top style="medium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>
        <color indexed="63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ck"/>
      <right style="thin"/>
      <top style="thick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ck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medium">
        <color indexed="31"/>
      </left>
      <right style="medium">
        <color indexed="31"/>
      </right>
      <top>
        <color indexed="63"/>
      </top>
      <bottom style="medium">
        <color indexed="3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>
        <color indexed="8"/>
      </right>
      <top style="medium"/>
      <bottom>
        <color indexed="63"/>
      </bottom>
    </border>
    <border>
      <left style="thick"/>
      <right style="thin">
        <color indexed="8"/>
      </right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65" fontId="0" fillId="3" borderId="5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4" borderId="9" xfId="0" applyFill="1" applyBorder="1" applyAlignment="1">
      <alignment horizontal="right" shrinkToFit="1"/>
    </xf>
    <xf numFmtId="169" fontId="0" fillId="3" borderId="10" xfId="0" applyNumberFormat="1" applyFill="1" applyBorder="1" applyAlignment="1">
      <alignment/>
    </xf>
    <xf numFmtId="169" fontId="0" fillId="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2" borderId="11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165" fontId="0" fillId="2" borderId="16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0" fontId="0" fillId="2" borderId="18" xfId="0" applyFill="1" applyBorder="1" applyAlignment="1">
      <alignment/>
    </xf>
    <xf numFmtId="1" fontId="0" fillId="2" borderId="19" xfId="0" applyNumberFormat="1" applyFill="1" applyBorder="1" applyAlignment="1">
      <alignment horizontal="center"/>
    </xf>
    <xf numFmtId="0" fontId="0" fillId="0" borderId="12" xfId="0" applyBorder="1" applyAlignment="1">
      <alignment shrinkToFit="1"/>
    </xf>
    <xf numFmtId="0" fontId="0" fillId="2" borderId="20" xfId="0" applyFill="1" applyBorder="1" applyAlignment="1">
      <alignment/>
    </xf>
    <xf numFmtId="9" fontId="0" fillId="2" borderId="21" xfId="0" applyNumberFormat="1" applyFill="1" applyBorder="1" applyAlignment="1">
      <alignment/>
    </xf>
    <xf numFmtId="0" fontId="0" fillId="2" borderId="12" xfId="0" applyFill="1" applyBorder="1" applyAlignment="1">
      <alignment/>
    </xf>
    <xf numFmtId="9" fontId="0" fillId="2" borderId="5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2" borderId="23" xfId="0" applyFill="1" applyBorder="1" applyAlignment="1">
      <alignment/>
    </xf>
    <xf numFmtId="9" fontId="0" fillId="2" borderId="24" xfId="0" applyNumberFormat="1" applyFill="1" applyBorder="1" applyAlignment="1">
      <alignment/>
    </xf>
    <xf numFmtId="0" fontId="0" fillId="2" borderId="25" xfId="0" applyFill="1" applyBorder="1" applyAlignment="1">
      <alignment horizontal="center"/>
    </xf>
    <xf numFmtId="3" fontId="0" fillId="3" borderId="25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26" xfId="0" applyNumberFormat="1" applyFill="1" applyBorder="1" applyAlignment="1">
      <alignment/>
    </xf>
    <xf numFmtId="0" fontId="0" fillId="0" borderId="27" xfId="0" applyBorder="1" applyAlignment="1">
      <alignment shrinkToFit="1"/>
    </xf>
    <xf numFmtId="164" fontId="0" fillId="5" borderId="22" xfId="0" applyNumberFormat="1" applyFill="1" applyBorder="1" applyAlignment="1">
      <alignment/>
    </xf>
    <xf numFmtId="0" fontId="0" fillId="0" borderId="28" xfId="0" applyBorder="1" applyAlignment="1">
      <alignment shrinkToFit="1"/>
    </xf>
    <xf numFmtId="164" fontId="0" fillId="3" borderId="6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3" borderId="22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 horizontal="center" shrinkToFit="1"/>
    </xf>
    <xf numFmtId="0" fontId="0" fillId="6" borderId="0" xfId="0" applyFill="1" applyBorder="1" applyAlignment="1">
      <alignment horizontal="center" shrinkToFit="1"/>
    </xf>
    <xf numFmtId="165" fontId="0" fillId="4" borderId="0" xfId="0" applyNumberFormat="1" applyFill="1" applyBorder="1" applyAlignment="1">
      <alignment/>
    </xf>
    <xf numFmtId="9" fontId="0" fillId="4" borderId="0" xfId="0" applyNumberFormat="1" applyFill="1" applyBorder="1" applyAlignment="1">
      <alignment/>
    </xf>
    <xf numFmtId="6" fontId="0" fillId="4" borderId="0" xfId="0" applyNumberFormat="1" applyFill="1" applyBorder="1" applyAlignment="1">
      <alignment/>
    </xf>
    <xf numFmtId="9" fontId="0" fillId="4" borderId="31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169" fontId="0" fillId="4" borderId="0" xfId="0" applyNumberFormat="1" applyFill="1" applyBorder="1" applyAlignment="1">
      <alignment/>
    </xf>
    <xf numFmtId="0" fontId="6" fillId="0" borderId="33" xfId="0" applyFont="1" applyBorder="1" applyAlignment="1">
      <alignment/>
    </xf>
    <xf numFmtId="165" fontId="0" fillId="3" borderId="5" xfId="0" applyNumberFormat="1" applyFill="1" applyBorder="1" applyAlignment="1">
      <alignment/>
    </xf>
    <xf numFmtId="169" fontId="0" fillId="3" borderId="5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4" xfId="0" applyBorder="1" applyAlignment="1">
      <alignment/>
    </xf>
    <xf numFmtId="1" fontId="0" fillId="5" borderId="5" xfId="0" applyNumberFormat="1" applyFill="1" applyBorder="1" applyAlignment="1">
      <alignment/>
    </xf>
    <xf numFmtId="10" fontId="0" fillId="3" borderId="5" xfId="0" applyNumberFormat="1" applyFill="1" applyBorder="1" applyAlignment="1">
      <alignment/>
    </xf>
    <xf numFmtId="0" fontId="0" fillId="0" borderId="9" xfId="0" applyBorder="1" applyAlignment="1">
      <alignment/>
    </xf>
    <xf numFmtId="165" fontId="1" fillId="7" borderId="5" xfId="0" applyNumberFormat="1" applyFont="1" applyFill="1" applyBorder="1" applyAlignment="1">
      <alignment/>
    </xf>
    <xf numFmtId="10" fontId="1" fillId="7" borderId="5" xfId="0" applyNumberFormat="1" applyFont="1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1" fillId="0" borderId="27" xfId="0" applyFont="1" applyBorder="1" applyAlignment="1">
      <alignment shrinkToFit="1"/>
    </xf>
    <xf numFmtId="1" fontId="0" fillId="4" borderId="37" xfId="0" applyNumberFormat="1" applyFill="1" applyBorder="1" applyAlignment="1">
      <alignment/>
    </xf>
    <xf numFmtId="1" fontId="0" fillId="4" borderId="38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4" borderId="4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4" xfId="0" applyFill="1" applyBorder="1" applyAlignment="1">
      <alignment horizontal="center" shrinkToFit="1"/>
    </xf>
    <xf numFmtId="0" fontId="0" fillId="0" borderId="36" xfId="0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8" xfId="0" applyFill="1" applyBorder="1" applyAlignment="1">
      <alignment/>
    </xf>
    <xf numFmtId="1" fontId="0" fillId="4" borderId="35" xfId="0" applyNumberFormat="1" applyFill="1" applyBorder="1" applyAlignment="1">
      <alignment/>
    </xf>
    <xf numFmtId="0" fontId="0" fillId="4" borderId="35" xfId="0" applyFill="1" applyBorder="1" applyAlignment="1">
      <alignment horizontal="left" vertical="top" wrapText="1"/>
    </xf>
    <xf numFmtId="0" fontId="0" fillId="4" borderId="36" xfId="0" applyFill="1" applyBorder="1" applyAlignment="1">
      <alignment horizontal="left" vertical="top" wrapText="1"/>
    </xf>
    <xf numFmtId="0" fontId="0" fillId="0" borderId="36" xfId="0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4" borderId="42" xfId="0" applyFill="1" applyBorder="1" applyAlignment="1">
      <alignment horizontal="right" shrinkToFit="1"/>
    </xf>
    <xf numFmtId="164" fontId="0" fillId="3" borderId="43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4" borderId="45" xfId="0" applyFill="1" applyBorder="1" applyAlignment="1">
      <alignment horizontal="right" shrinkToFit="1"/>
    </xf>
    <xf numFmtId="166" fontId="1" fillId="5" borderId="5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6" borderId="46" xfId="0" applyFill="1" applyBorder="1" applyAlignment="1">
      <alignment/>
    </xf>
    <xf numFmtId="165" fontId="0" fillId="3" borderId="11" xfId="0" applyNumberFormat="1" applyFill="1" applyBorder="1" applyAlignment="1">
      <alignment/>
    </xf>
    <xf numFmtId="165" fontId="0" fillId="3" borderId="26" xfId="0" applyNumberFormat="1" applyFill="1" applyBorder="1" applyAlignment="1">
      <alignment/>
    </xf>
    <xf numFmtId="9" fontId="0" fillId="3" borderId="11" xfId="0" applyNumberFormat="1" applyFill="1" applyBorder="1" applyAlignment="1">
      <alignment/>
    </xf>
    <xf numFmtId="6" fontId="0" fillId="3" borderId="11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0" fontId="0" fillId="4" borderId="47" xfId="0" applyFill="1" applyBorder="1" applyAlignment="1">
      <alignment/>
    </xf>
    <xf numFmtId="0" fontId="0" fillId="0" borderId="48" xfId="0" applyBorder="1" applyAlignment="1">
      <alignment shrinkToFit="1"/>
    </xf>
    <xf numFmtId="9" fontId="0" fillId="5" borderId="49" xfId="0" applyNumberFormat="1" applyFill="1" applyBorder="1" applyAlignment="1">
      <alignment/>
    </xf>
    <xf numFmtId="9" fontId="1" fillId="8" borderId="50" xfId="0" applyNumberFormat="1" applyFont="1" applyFill="1" applyBorder="1" applyAlignment="1">
      <alignment/>
    </xf>
    <xf numFmtId="1" fontId="0" fillId="0" borderId="51" xfId="0" applyNumberFormat="1" applyBorder="1" applyAlignment="1">
      <alignment/>
    </xf>
    <xf numFmtId="0" fontId="0" fillId="4" borderId="32" xfId="0" applyFill="1" applyBorder="1" applyAlignment="1">
      <alignment/>
    </xf>
    <xf numFmtId="1" fontId="0" fillId="4" borderId="32" xfId="0" applyNumberFormat="1" applyFill="1" applyBorder="1" applyAlignment="1">
      <alignment/>
    </xf>
    <xf numFmtId="165" fontId="0" fillId="4" borderId="32" xfId="0" applyNumberFormat="1" applyFill="1" applyBorder="1" applyAlignment="1">
      <alignment/>
    </xf>
    <xf numFmtId="167" fontId="0" fillId="4" borderId="32" xfId="0" applyNumberFormat="1" applyFill="1" applyBorder="1" applyAlignment="1">
      <alignment/>
    </xf>
    <xf numFmtId="167" fontId="0" fillId="4" borderId="32" xfId="0" applyNumberFormat="1" applyFill="1" applyBorder="1" applyAlignment="1">
      <alignment horizontal="center"/>
    </xf>
    <xf numFmtId="3" fontId="0" fillId="4" borderId="32" xfId="0" applyNumberFormat="1" applyFill="1" applyBorder="1" applyAlignment="1">
      <alignment/>
    </xf>
    <xf numFmtId="167" fontId="0" fillId="4" borderId="32" xfId="0" applyNumberFormat="1" applyFill="1" applyBorder="1" applyAlignment="1">
      <alignment shrinkToFi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6" borderId="55" xfId="0" applyFill="1" applyBorder="1" applyAlignment="1" applyProtection="1">
      <alignment horizontal="center"/>
      <protection locked="0"/>
    </xf>
    <xf numFmtId="1" fontId="0" fillId="6" borderId="5" xfId="0" applyNumberFormat="1" applyFont="1" applyFill="1" applyBorder="1" applyAlignment="1" applyProtection="1">
      <alignment horizontal="center"/>
      <protection locked="0"/>
    </xf>
    <xf numFmtId="1" fontId="0" fillId="6" borderId="5" xfId="0" applyNumberForma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9" fontId="0" fillId="6" borderId="5" xfId="0" applyNumberFormat="1" applyFill="1" applyBorder="1" applyAlignment="1" applyProtection="1">
      <alignment horizontal="center"/>
      <protection locked="0"/>
    </xf>
    <xf numFmtId="165" fontId="0" fillId="6" borderId="5" xfId="0" applyNumberFormat="1" applyFill="1" applyBorder="1" applyAlignment="1" applyProtection="1">
      <alignment horizontal="center"/>
      <protection locked="0"/>
    </xf>
    <xf numFmtId="167" fontId="0" fillId="6" borderId="5" xfId="0" applyNumberFormat="1" applyFill="1" applyBorder="1" applyAlignment="1" applyProtection="1">
      <alignment horizontal="center"/>
      <protection locked="0"/>
    </xf>
    <xf numFmtId="3" fontId="0" fillId="6" borderId="5" xfId="0" applyNumberFormat="1" applyFill="1" applyBorder="1" applyAlignment="1" applyProtection="1">
      <alignment horizontal="center"/>
      <protection locked="0"/>
    </xf>
    <xf numFmtId="6" fontId="0" fillId="6" borderId="5" xfId="0" applyNumberFormat="1" applyFill="1" applyBorder="1" applyAlignment="1" applyProtection="1">
      <alignment horizontal="center"/>
      <protection locked="0"/>
    </xf>
    <xf numFmtId="10" fontId="0" fillId="6" borderId="5" xfId="0" applyNumberForma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shrinkToFit="1"/>
      <protection locked="0"/>
    </xf>
    <xf numFmtId="3" fontId="0" fillId="6" borderId="6" xfId="0" applyNumberFormat="1" applyFill="1" applyBorder="1" applyAlignment="1" applyProtection="1">
      <alignment horizontal="center"/>
      <protection locked="0"/>
    </xf>
    <xf numFmtId="1" fontId="1" fillId="5" borderId="49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3" xfId="0" applyBorder="1" applyAlignment="1">
      <alignment wrapText="1"/>
    </xf>
    <xf numFmtId="0" fontId="0" fillId="0" borderId="59" xfId="0" applyBorder="1" applyAlignment="1">
      <alignment/>
    </xf>
    <xf numFmtId="0" fontId="0" fillId="0" borderId="59" xfId="0" applyBorder="1" applyAlignment="1">
      <alignment shrinkToFit="1"/>
    </xf>
    <xf numFmtId="1" fontId="0" fillId="4" borderId="59" xfId="0" applyNumberFormat="1" applyFill="1" applyBorder="1" applyAlignment="1">
      <alignment/>
    </xf>
    <xf numFmtId="165" fontId="0" fillId="4" borderId="59" xfId="0" applyNumberFormat="1" applyFill="1" applyBorder="1" applyAlignment="1">
      <alignment/>
    </xf>
    <xf numFmtId="0" fontId="0" fillId="4" borderId="32" xfId="0" applyFill="1" applyBorder="1" applyAlignment="1">
      <alignment/>
    </xf>
    <xf numFmtId="1" fontId="1" fillId="4" borderId="60" xfId="0" applyNumberFormat="1" applyFont="1" applyFill="1" applyBorder="1" applyAlignment="1">
      <alignment/>
    </xf>
    <xf numFmtId="176" fontId="0" fillId="3" borderId="61" xfId="0" applyNumberForma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wrapText="1"/>
    </xf>
    <xf numFmtId="0" fontId="0" fillId="0" borderId="64" xfId="0" applyBorder="1" applyAlignment="1">
      <alignment/>
    </xf>
    <xf numFmtId="0" fontId="0" fillId="0" borderId="65" xfId="0" applyBorder="1" applyAlignment="1">
      <alignment wrapText="1"/>
    </xf>
    <xf numFmtId="0" fontId="0" fillId="4" borderId="32" xfId="0" applyFill="1" applyBorder="1" applyAlignment="1">
      <alignment horizontal="left" vertical="top"/>
    </xf>
    <xf numFmtId="0" fontId="0" fillId="4" borderId="66" xfId="0" applyFill="1" applyBorder="1" applyAlignment="1">
      <alignment/>
    </xf>
    <xf numFmtId="165" fontId="0" fillId="4" borderId="66" xfId="0" applyNumberFormat="1" applyFill="1" applyBorder="1" applyAlignment="1">
      <alignment/>
    </xf>
    <xf numFmtId="0" fontId="0" fillId="4" borderId="36" xfId="0" applyFill="1" applyBorder="1" applyAlignment="1">
      <alignment/>
    </xf>
    <xf numFmtId="165" fontId="0" fillId="4" borderId="36" xfId="0" applyNumberFormat="1" applyFill="1" applyBorder="1" applyAlignment="1">
      <alignment/>
    </xf>
    <xf numFmtId="169" fontId="0" fillId="4" borderId="36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10" fontId="0" fillId="4" borderId="36" xfId="0" applyNumberFormat="1" applyFill="1" applyBorder="1" applyAlignment="1">
      <alignment/>
    </xf>
    <xf numFmtId="9" fontId="1" fillId="4" borderId="36" xfId="0" applyNumberFormat="1" applyFont="1" applyFill="1" applyBorder="1" applyAlignment="1">
      <alignment/>
    </xf>
    <xf numFmtId="10" fontId="1" fillId="4" borderId="36" xfId="0" applyNumberFormat="1" applyFont="1" applyFill="1" applyBorder="1" applyAlignment="1">
      <alignment/>
    </xf>
    <xf numFmtId="165" fontId="1" fillId="4" borderId="36" xfId="0" applyNumberFormat="1" applyFont="1" applyFill="1" applyBorder="1" applyAlignment="1">
      <alignment/>
    </xf>
    <xf numFmtId="9" fontId="0" fillId="4" borderId="36" xfId="0" applyNumberFormat="1" applyFill="1" applyBorder="1" applyAlignment="1">
      <alignment/>
    </xf>
    <xf numFmtId="6" fontId="0" fillId="4" borderId="36" xfId="0" applyNumberFormat="1" applyFill="1" applyBorder="1" applyAlignment="1">
      <alignment horizontal="center"/>
    </xf>
    <xf numFmtId="10" fontId="0" fillId="4" borderId="36" xfId="0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65" fontId="0" fillId="4" borderId="36" xfId="0" applyNumberFormat="1" applyFill="1" applyBorder="1" applyAlignment="1">
      <alignment horizontal="center"/>
    </xf>
    <xf numFmtId="165" fontId="0" fillId="4" borderId="66" xfId="0" applyNumberFormat="1" applyFill="1" applyBorder="1" applyAlignment="1">
      <alignment horizontal="center"/>
    </xf>
    <xf numFmtId="0" fontId="1" fillId="4" borderId="36" xfId="0" applyFont="1" applyFill="1" applyBorder="1" applyAlignment="1">
      <alignment/>
    </xf>
    <xf numFmtId="0" fontId="1" fillId="4" borderId="66" xfId="0" applyFont="1" applyFill="1" applyBorder="1" applyAlignment="1">
      <alignment horizontal="center"/>
    </xf>
    <xf numFmtId="0" fontId="0" fillId="4" borderId="32" xfId="0" applyFill="1" applyBorder="1" applyAlignment="1">
      <alignment horizontal="right" vertical="top"/>
    </xf>
    <xf numFmtId="0" fontId="0" fillId="4" borderId="32" xfId="0" applyFill="1" applyBorder="1" applyAlignment="1">
      <alignment horizontal="right"/>
    </xf>
    <xf numFmtId="0" fontId="0" fillId="4" borderId="67" xfId="0" applyFill="1" applyBorder="1" applyAlignment="1">
      <alignment horizontal="right"/>
    </xf>
    <xf numFmtId="2" fontId="0" fillId="0" borderId="0" xfId="0" applyNumberFormat="1" applyAlignment="1">
      <alignment/>
    </xf>
    <xf numFmtId="1" fontId="0" fillId="4" borderId="32" xfId="0" applyNumberFormat="1" applyFont="1" applyFill="1" applyBorder="1" applyAlignment="1">
      <alignment/>
    </xf>
    <xf numFmtId="1" fontId="9" fillId="0" borderId="0" xfId="0" applyNumberFormat="1" applyFont="1" applyAlignment="1">
      <alignment horizontal="center"/>
    </xf>
    <xf numFmtId="165" fontId="0" fillId="4" borderId="40" xfId="0" applyNumberFormat="1" applyFill="1" applyBorder="1" applyAlignment="1">
      <alignment/>
    </xf>
    <xf numFmtId="169" fontId="0" fillId="4" borderId="32" xfId="0" applyNumberFormat="1" applyFill="1" applyBorder="1" applyAlignment="1">
      <alignment/>
    </xf>
    <xf numFmtId="3" fontId="0" fillId="4" borderId="40" xfId="0" applyNumberFormat="1" applyFill="1" applyBorder="1" applyAlignment="1">
      <alignment/>
    </xf>
    <xf numFmtId="165" fontId="0" fillId="4" borderId="35" xfId="0" applyNumberFormat="1" applyFill="1" applyBorder="1" applyAlignment="1">
      <alignment/>
    </xf>
    <xf numFmtId="164" fontId="0" fillId="4" borderId="32" xfId="0" applyNumberFormat="1" applyFill="1" applyBorder="1" applyAlignment="1">
      <alignment/>
    </xf>
    <xf numFmtId="165" fontId="0" fillId="4" borderId="68" xfId="0" applyNumberFormat="1" applyFill="1" applyBorder="1" applyAlignment="1">
      <alignment/>
    </xf>
    <xf numFmtId="0" fontId="0" fillId="4" borderId="40" xfId="0" applyFill="1" applyBorder="1" applyAlignment="1">
      <alignment horizontal="right" vertical="top"/>
    </xf>
    <xf numFmtId="1" fontId="0" fillId="4" borderId="36" xfId="0" applyNumberFormat="1" applyFont="1" applyFill="1" applyBorder="1" applyAlignment="1">
      <alignment/>
    </xf>
    <xf numFmtId="176" fontId="0" fillId="4" borderId="69" xfId="0" applyNumberFormat="1" applyFill="1" applyBorder="1" applyAlignment="1">
      <alignment/>
    </xf>
    <xf numFmtId="165" fontId="0" fillId="4" borderId="70" xfId="0" applyNumberFormat="1" applyFill="1" applyBorder="1" applyAlignment="1">
      <alignment/>
    </xf>
    <xf numFmtId="3" fontId="0" fillId="0" borderId="0" xfId="0" applyNumberFormat="1" applyAlignment="1">
      <alignment/>
    </xf>
    <xf numFmtId="4" fontId="0" fillId="4" borderId="69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4" borderId="71" xfId="0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72" xfId="0" applyBorder="1" applyAlignment="1">
      <alignment wrapText="1"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61" xfId="0" applyNumberFormat="1" applyBorder="1" applyAlignment="1">
      <alignment shrinkToFit="1"/>
    </xf>
    <xf numFmtId="0" fontId="3" fillId="0" borderId="61" xfId="0" applyFont="1" applyBorder="1" applyAlignment="1">
      <alignment shrinkToFit="1"/>
    </xf>
    <xf numFmtId="0" fontId="0" fillId="0" borderId="73" xfId="0" applyBorder="1" applyAlignment="1">
      <alignment/>
    </xf>
    <xf numFmtId="0" fontId="0" fillId="0" borderId="71" xfId="0" applyBorder="1" applyAlignment="1">
      <alignment/>
    </xf>
    <xf numFmtId="0" fontId="0" fillId="0" borderId="74" xfId="0" applyBorder="1" applyAlignment="1">
      <alignment horizontal="center" vertical="center" shrinkToFit="1"/>
    </xf>
    <xf numFmtId="1" fontId="2" fillId="3" borderId="74" xfId="0" applyNumberFormat="1" applyFont="1" applyFill="1" applyBorder="1" applyAlignment="1" applyProtection="1">
      <alignment horizontal="center" vertical="center"/>
      <protection locked="0"/>
    </xf>
    <xf numFmtId="164" fontId="0" fillId="4" borderId="57" xfId="0" applyNumberFormat="1" applyFill="1" applyBorder="1" applyAlignment="1">
      <alignment/>
    </xf>
    <xf numFmtId="176" fontId="1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2" fillId="5" borderId="77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4" borderId="81" xfId="0" applyFont="1" applyFill="1" applyBorder="1" applyAlignment="1">
      <alignment/>
    </xf>
    <xf numFmtId="0" fontId="1" fillId="0" borderId="82" xfId="0" applyFont="1" applyBorder="1" applyAlignment="1">
      <alignment/>
    </xf>
    <xf numFmtId="165" fontId="0" fillId="3" borderId="9" xfId="0" applyNumberFormat="1" applyFill="1" applyBorder="1" applyAlignment="1">
      <alignment horizontal="center"/>
    </xf>
    <xf numFmtId="0" fontId="0" fillId="0" borderId="83" xfId="0" applyBorder="1" applyAlignment="1">
      <alignment/>
    </xf>
    <xf numFmtId="0" fontId="1" fillId="0" borderId="0" xfId="0" applyFont="1" applyAlignment="1">
      <alignment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86" xfId="0" applyBorder="1" applyAlignment="1">
      <alignment horizontal="center" vertical="center" shrinkToFit="1"/>
    </xf>
    <xf numFmtId="0" fontId="0" fillId="2" borderId="87" xfId="0" applyFill="1" applyBorder="1" applyAlignment="1">
      <alignment vertical="center" wrapText="1"/>
    </xf>
    <xf numFmtId="0" fontId="0" fillId="2" borderId="88" xfId="0" applyFill="1" applyBorder="1" applyAlignment="1">
      <alignment vertical="center" wrapText="1"/>
    </xf>
    <xf numFmtId="0" fontId="0" fillId="0" borderId="42" xfId="0" applyBorder="1" applyAlignment="1">
      <alignment shrinkToFit="1"/>
    </xf>
    <xf numFmtId="0" fontId="0" fillId="0" borderId="89" xfId="0" applyBorder="1" applyAlignment="1">
      <alignment/>
    </xf>
    <xf numFmtId="0" fontId="0" fillId="0" borderId="14" xfId="0" applyBorder="1" applyAlignment="1">
      <alignment/>
    </xf>
    <xf numFmtId="1" fontId="8" fillId="9" borderId="84" xfId="0" applyNumberFormat="1" applyFont="1" applyFill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80" xfId="0" applyBorder="1" applyAlignment="1">
      <alignment shrinkToFit="1"/>
    </xf>
    <xf numFmtId="0" fontId="0" fillId="0" borderId="90" xfId="0" applyBorder="1" applyAlignment="1">
      <alignment wrapText="1"/>
    </xf>
    <xf numFmtId="0" fontId="0" fillId="0" borderId="91" xfId="0" applyBorder="1" applyAlignment="1">
      <alignment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80" xfId="0" applyBorder="1" applyAlignment="1">
      <alignment horizontal="right"/>
    </xf>
    <xf numFmtId="1" fontId="7" fillId="6" borderId="84" xfId="0" applyNumberFormat="1" applyFont="1" applyFill="1" applyBorder="1" applyAlignment="1" applyProtection="1">
      <alignment horizontal="center" vertical="center"/>
      <protection locked="0"/>
    </xf>
    <xf numFmtId="0" fontId="7" fillId="6" borderId="85" xfId="0" applyFont="1" applyFill="1" applyBorder="1" applyAlignment="1" applyProtection="1">
      <alignment horizontal="center" vertical="center"/>
      <protection locked="0"/>
    </xf>
    <xf numFmtId="0" fontId="0" fillId="4" borderId="92" xfId="0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93" xfId="0" applyBorder="1" applyAlignment="1">
      <alignment/>
    </xf>
    <xf numFmtId="167" fontId="0" fillId="4" borderId="32" xfId="0" applyNumberFormat="1" applyFill="1" applyBorder="1" applyAlignment="1">
      <alignment/>
    </xf>
    <xf numFmtId="0" fontId="0" fillId="4" borderId="3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single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Cost Per 1000 Ton Mile Measures
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03"/>
          <c:w val="0.90375"/>
          <c:h val="0.724"/>
        </c:manualLayout>
      </c:layout>
      <c:lineChart>
        <c:grouping val="standard"/>
        <c:varyColors val="0"/>
        <c:ser>
          <c:idx val="0"/>
          <c:order val="0"/>
          <c:tx>
            <c:v>Cost per 100 Ton Mile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Sheet1!$D$73:$D$130</c:f>
              <c:numCache/>
            </c:numRef>
          </c:cat>
          <c:val>
            <c:numRef>
              <c:f>Sheet1!$E$73:$E$130</c:f>
              <c:numCache/>
            </c:numRef>
          </c:val>
          <c:smooth val="0"/>
        </c:ser>
        <c:ser>
          <c:idx val="1"/>
          <c:order val="1"/>
          <c:tx>
            <c:v>Variable Cost/ 100 TM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Sheet1!$D$73:$D$130</c:f>
              <c:numCache/>
            </c:numRef>
          </c:cat>
          <c:val>
            <c:numRef>
              <c:f>Sheet1!$T$73:$T$130</c:f>
              <c:numCache/>
            </c:numRef>
          </c:val>
          <c:smooth val="0"/>
        </c:ser>
        <c:ser>
          <c:idx val="2"/>
          <c:order val="2"/>
          <c:tx>
            <c:v>Fixed Cost/ 100 TM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Sheet1!$D$73:$D$130</c:f>
              <c:numCache/>
            </c:numRef>
          </c:cat>
          <c:val>
            <c:numRef>
              <c:f>Sheet1!$U$73:$U$130</c:f>
              <c:numCache/>
            </c:numRef>
          </c:val>
          <c:smooth val="0"/>
        </c:ser>
        <c:ser>
          <c:idx val="3"/>
          <c:order val="3"/>
          <c:tx>
            <c:v>Revenue Per 100 Ton Mile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Sheet1!$D$73:$D$130</c:f>
              <c:numCache/>
            </c:numRef>
          </c:cat>
          <c:val>
            <c:numRef>
              <c:f>Sheet1!$Y$73:$Y$130</c:f>
              <c:numCache/>
            </c:numRef>
          </c:val>
          <c:smooth val="0"/>
        </c:ser>
        <c:marker val="1"/>
        <c:axId val="60718509"/>
        <c:axId val="35238182"/>
      </c:lineChart>
      <c:catAx>
        <c:axId val="60718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Number of Trains</a:t>
                </a:r>
              </a:p>
            </c:rich>
          </c:tx>
          <c:layout>
            <c:manualLayout>
              <c:xMode val="factor"/>
              <c:yMode val="factor"/>
              <c:x val="0.002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38182"/>
        <c:crosses val="autoZero"/>
        <c:auto val="1"/>
        <c:lblOffset val="100"/>
        <c:noMultiLvlLbl val="0"/>
      </c:catAx>
      <c:valAx>
        <c:axId val="3523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Dollars per 100 Ton Mile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18509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675"/>
          <c:y val="0.84275"/>
          <c:w val="0.60325"/>
          <c:h val="0.154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15"/>
          <c:y val="0.06225"/>
          <c:w val="0.73725"/>
          <c:h val="0.869"/>
        </c:manualLayout>
      </c:layout>
      <c:lineChart>
        <c:grouping val="standard"/>
        <c:varyColors val="0"/>
        <c:ser>
          <c:idx val="0"/>
          <c:order val="0"/>
          <c:tx>
            <c:v>Number of Meets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Sheet1!$D$73:$D$133</c:f>
              <c:numCache/>
            </c:numRef>
          </c:cat>
          <c:val>
            <c:numRef>
              <c:f>Sheet1!$F$73:$F$133</c:f>
              <c:numCache/>
            </c:numRef>
          </c:val>
          <c:smooth val="0"/>
        </c:ser>
        <c:marker val="1"/>
        <c:axId val="49190455"/>
        <c:axId val="15874336"/>
      </c:lineChart>
      <c:catAx>
        <c:axId val="491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Trains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74336"/>
        <c:crosses val="autoZero"/>
        <c:auto val="1"/>
        <c:lblOffset val="100"/>
        <c:noMultiLvlLbl val="0"/>
      </c:catAx>
      <c:valAx>
        <c:axId val="15874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Meets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90455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075"/>
          <c:y val="0.934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Crew and Equipment Hours/Train
</a:t>
            </a:r>
          </a:p>
        </c:rich>
      </c:tx>
      <c:layout>
        <c:manualLayout>
          <c:xMode val="factor"/>
          <c:yMode val="factor"/>
          <c:x val="0.001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375"/>
          <c:w val="0.8855"/>
          <c:h val="0.77875"/>
        </c:manualLayout>
      </c:layout>
      <c:lineChart>
        <c:grouping val="standard"/>
        <c:varyColors val="0"/>
        <c:ser>
          <c:idx val="0"/>
          <c:order val="0"/>
          <c:tx>
            <c:v>Moving Hours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Sheet1!$V$73:$V$130</c:f>
              <c:numCache/>
            </c:numRef>
          </c:val>
          <c:smooth val="0"/>
        </c:ser>
        <c:ser>
          <c:idx val="1"/>
          <c:order val="1"/>
          <c:tx>
            <c:v>Siding Hours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Sheet1!$W$73:$W$130</c:f>
              <c:numCache/>
            </c:numRef>
          </c:val>
          <c:smooth val="0"/>
        </c:ser>
        <c:ser>
          <c:idx val="2"/>
          <c:order val="2"/>
          <c:tx>
            <c:v>Total Hours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Sheet1!$X$73:$X$130</c:f>
              <c:numCache/>
            </c:numRef>
          </c:val>
          <c:smooth val="0"/>
        </c:ser>
        <c:marker val="1"/>
        <c:axId val="3529761"/>
        <c:axId val="45713274"/>
      </c:lineChart>
      <c:catAx>
        <c:axId val="352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Trains</a:t>
                </a:r>
              </a:p>
            </c:rich>
          </c:tx>
          <c:layout>
            <c:manualLayout>
              <c:xMode val="factor"/>
              <c:yMode val="factor"/>
              <c:x val="0"/>
              <c:y val="-0.09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3274"/>
        <c:crosses val="autoZero"/>
        <c:auto val="1"/>
        <c:lblOffset val="100"/>
        <c:noMultiLvlLbl val="0"/>
      </c:catAx>
      <c:valAx>
        <c:axId val="4571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9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175"/>
          <c:y val="0.86825"/>
          <c:w val="0.435"/>
          <c:h val="0.12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</xdr:row>
      <xdr:rowOff>19050</xdr:rowOff>
    </xdr:from>
    <xdr:to>
      <xdr:col>19</xdr:col>
      <xdr:colOff>47625</xdr:colOff>
      <xdr:row>25</xdr:row>
      <xdr:rowOff>85725</xdr:rowOff>
    </xdr:to>
    <xdr:graphicFrame>
      <xdr:nvGraphicFramePr>
        <xdr:cNvPr id="1" name="Chart 4"/>
        <xdr:cNvGraphicFramePr/>
      </xdr:nvGraphicFramePr>
      <xdr:xfrm>
        <a:off x="7486650" y="857250"/>
        <a:ext cx="37338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44</xdr:row>
      <xdr:rowOff>9525</xdr:rowOff>
    </xdr:from>
    <xdr:to>
      <xdr:col>19</xdr:col>
      <xdr:colOff>57150</xdr:colOff>
      <xdr:row>62</xdr:row>
      <xdr:rowOff>47625</xdr:rowOff>
    </xdr:to>
    <xdr:graphicFrame>
      <xdr:nvGraphicFramePr>
        <xdr:cNvPr id="2" name="Chart 9"/>
        <xdr:cNvGraphicFramePr/>
      </xdr:nvGraphicFramePr>
      <xdr:xfrm>
        <a:off x="7515225" y="7705725"/>
        <a:ext cx="37147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</xdr:colOff>
      <xdr:row>25</xdr:row>
      <xdr:rowOff>133350</xdr:rowOff>
    </xdr:from>
    <xdr:to>
      <xdr:col>19</xdr:col>
      <xdr:colOff>57150</xdr:colOff>
      <xdr:row>43</xdr:row>
      <xdr:rowOff>95250</xdr:rowOff>
    </xdr:to>
    <xdr:graphicFrame>
      <xdr:nvGraphicFramePr>
        <xdr:cNvPr id="3" name="Chart 10"/>
        <xdr:cNvGraphicFramePr/>
      </xdr:nvGraphicFramePr>
      <xdr:xfrm>
        <a:off x="7486650" y="4505325"/>
        <a:ext cx="37433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5"/>
  <sheetViews>
    <sheetView tabSelected="1" workbookViewId="0" topLeftCell="A46">
      <selection activeCell="E73" sqref="E73"/>
    </sheetView>
  </sheetViews>
  <sheetFormatPr defaultColWidth="9.140625" defaultRowHeight="12.75"/>
  <cols>
    <col min="1" max="2" width="1.28515625" style="0" customWidth="1"/>
    <col min="3" max="3" width="0.5625" style="0" customWidth="1"/>
    <col min="4" max="5" width="15.8515625" style="0" customWidth="1"/>
    <col min="6" max="6" width="12.00390625" style="0" customWidth="1"/>
    <col min="7" max="7" width="0.5625" style="0" customWidth="1"/>
    <col min="8" max="8" width="19.00390625" style="0" customWidth="1"/>
    <col min="9" max="9" width="13.57421875" style="0" customWidth="1"/>
    <col min="10" max="10" width="0.71875" style="0" customWidth="1"/>
    <col min="11" max="11" width="16.28125" style="0" customWidth="1"/>
    <col min="12" max="12" width="14.28125" style="0" customWidth="1"/>
    <col min="13" max="13" width="0.42578125" style="0" customWidth="1"/>
    <col min="16" max="16" width="10.140625" style="0" bestFit="1" customWidth="1"/>
  </cols>
  <sheetData>
    <row r="1" ht="13.5" thickBot="1"/>
    <row r="2" spans="4:19" ht="25.5" customHeight="1" thickBot="1">
      <c r="D2" s="224" t="s">
        <v>15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/>
      <c r="R2" s="226"/>
      <c r="S2" s="227"/>
    </row>
    <row r="3" spans="4:6" ht="13.5" thickBot="1">
      <c r="D3" s="239" t="s">
        <v>21</v>
      </c>
      <c r="E3" s="239"/>
      <c r="F3" s="11"/>
    </row>
    <row r="4" spans="4:12" ht="13.5" thickBot="1">
      <c r="D4" s="205"/>
      <c r="E4" s="219"/>
      <c r="F4" s="211"/>
      <c r="H4" s="212" t="s">
        <v>166</v>
      </c>
      <c r="I4" s="160">
        <f>$L$17/($F$10*$F$18*100*$I$8)*($F$9*$F$10/$F$11)+(2*L17)/($F$18*$F$10*100*$I$8)</f>
        <v>1.7079999999999997</v>
      </c>
      <c r="L4" s="11"/>
    </row>
    <row r="5" spans="5:21" ht="14.25" thickBot="1" thickTop="1">
      <c r="E5" s="13"/>
      <c r="F5" s="190"/>
      <c r="H5" s="213" t="s">
        <v>167</v>
      </c>
      <c r="I5" s="160">
        <f>$L$16/($F$10*$F$18*100*$I$8)*($F$9*$F$10/$F$11)+(2*$L$16)/($F$18*$F$10*100*$I$8)</f>
        <v>1.484782660667763</v>
      </c>
      <c r="K5" s="69" t="s">
        <v>110</v>
      </c>
      <c r="L5" s="55"/>
      <c r="N5" s="158"/>
      <c r="O5" s="158"/>
      <c r="P5" s="158"/>
      <c r="U5" t="s">
        <v>164</v>
      </c>
    </row>
    <row r="6" spans="4:22" ht="12.75">
      <c r="D6" s="244" t="s">
        <v>163</v>
      </c>
      <c r="E6" s="244"/>
      <c r="F6" s="244"/>
      <c r="H6" s="246" t="s">
        <v>142</v>
      </c>
      <c r="I6" s="252">
        <f>$F$37*$F$10*$F$39/(($F$38+($F$38/$F$36)+($F$13/2))*100)</f>
        <v>19.528205128205126</v>
      </c>
      <c r="K6" s="37" t="s">
        <v>93</v>
      </c>
      <c r="L6" s="70">
        <f>($F$18*$F$19*$I$8/$F$35)*$I$27/24*$F$9/$F$11</f>
        <v>172799.99999999997</v>
      </c>
      <c r="M6" s="169"/>
      <c r="N6" s="168"/>
      <c r="O6" s="168"/>
      <c r="P6" s="168"/>
      <c r="U6">
        <v>1</v>
      </c>
      <c r="V6">
        <v>2.68</v>
      </c>
    </row>
    <row r="7" spans="4:22" ht="13.5" customHeight="1" thickBot="1">
      <c r="D7" s="245"/>
      <c r="E7" s="245"/>
      <c r="F7" s="245"/>
      <c r="H7" s="241"/>
      <c r="I7" s="253"/>
      <c r="K7" s="25" t="s">
        <v>154</v>
      </c>
      <c r="L7" s="70">
        <f>$I$26*$F$21*$L$18+(IF(I27&gt;8,$I$26*$F$21*$L$18*1.5-$I$26*$F$21*$L$18,0))</f>
        <v>10670.79705882353</v>
      </c>
      <c r="M7" s="170"/>
      <c r="N7" s="168"/>
      <c r="O7" s="168"/>
      <c r="P7" s="168"/>
      <c r="U7">
        <v>2</v>
      </c>
      <c r="V7">
        <v>1.81</v>
      </c>
    </row>
    <row r="8" spans="4:22" ht="14.25" thickBot="1" thickTop="1">
      <c r="D8" s="150"/>
      <c r="E8" s="151"/>
      <c r="F8" s="152" t="s">
        <v>136</v>
      </c>
      <c r="H8" s="240" t="str">
        <f>IF(I8&lt;=I6+1,"Actual # Trains per Day","Trains Exceed Capacity!")</f>
        <v>Actual # Trains per Day</v>
      </c>
      <c r="I8" s="262">
        <v>9</v>
      </c>
      <c r="K8" s="25" t="s">
        <v>67</v>
      </c>
      <c r="L8" s="71">
        <f>$F$18*$I$8*$L$20*($I$27/24)+$I$8*$F$23*$L$24*($I$27/24)</f>
        <v>7835.163745332385</v>
      </c>
      <c r="M8" s="171"/>
      <c r="N8" s="168"/>
      <c r="O8" s="168"/>
      <c r="P8" s="168"/>
      <c r="U8">
        <v>3</v>
      </c>
      <c r="V8">
        <v>1.54</v>
      </c>
    </row>
    <row r="9" spans="4:22" ht="14.25" thickBot="1" thickTop="1">
      <c r="D9" s="53"/>
      <c r="E9" s="54" t="s">
        <v>106</v>
      </c>
      <c r="F9" s="135">
        <v>800</v>
      </c>
      <c r="H9" s="241"/>
      <c r="I9" s="263"/>
      <c r="K9" s="25" t="s">
        <v>27</v>
      </c>
      <c r="L9" s="70">
        <f>($I$24*$L$25*$F$23+$I$25*$L$26*$F$23)*$F$24*0.8</f>
        <v>30875.637176470595</v>
      </c>
      <c r="M9" s="172"/>
      <c r="N9" s="168"/>
      <c r="O9" s="168"/>
      <c r="P9" s="168"/>
      <c r="U9">
        <v>4</v>
      </c>
      <c r="V9">
        <v>1.42</v>
      </c>
    </row>
    <row r="10" spans="4:22" ht="16.5" thickBot="1">
      <c r="D10" s="260" t="s">
        <v>125</v>
      </c>
      <c r="E10" s="261"/>
      <c r="F10" s="136">
        <v>120</v>
      </c>
      <c r="H10" s="216" t="s">
        <v>159</v>
      </c>
      <c r="I10" s="217">
        <f>B135</f>
        <v>6</v>
      </c>
      <c r="K10" s="25" t="s">
        <v>85</v>
      </c>
      <c r="L10" s="70">
        <f>Sheet2!$G$24*0.5*$I$8/20*$F$10/365+(Sheet2!$G$24*0.5*$I$8/20*$F$10/365)*($F$10/$F$14*$I$32*2)/$I$39</f>
        <v>8030.985385318614</v>
      </c>
      <c r="M10" s="172"/>
      <c r="N10" s="168"/>
      <c r="O10" s="168"/>
      <c r="P10" s="168"/>
      <c r="U10">
        <v>5</v>
      </c>
      <c r="V10">
        <v>1.35</v>
      </c>
    </row>
    <row r="11" spans="4:22" ht="12.75">
      <c r="D11" s="25"/>
      <c r="E11" s="121" t="s">
        <v>69</v>
      </c>
      <c r="F11" s="137">
        <v>800</v>
      </c>
      <c r="H11" s="25" t="s">
        <v>2</v>
      </c>
      <c r="I11" s="149">
        <f>$I$8^2/2</f>
        <v>40.5</v>
      </c>
      <c r="K11" s="25" t="s">
        <v>28</v>
      </c>
      <c r="L11" s="70">
        <f>Sheet2!$F$27*($L$7+$L$8+$L$9)</f>
        <v>9123.385890651463</v>
      </c>
      <c r="M11" s="173"/>
      <c r="N11" s="168"/>
      <c r="O11" s="168"/>
      <c r="P11" s="168"/>
      <c r="U11">
        <v>6</v>
      </c>
      <c r="V11">
        <v>1.31</v>
      </c>
    </row>
    <row r="12" spans="4:22" ht="12.75">
      <c r="D12" s="25" t="s">
        <v>99</v>
      </c>
      <c r="E12" s="4"/>
      <c r="F12" s="137">
        <v>17</v>
      </c>
      <c r="H12" s="25" t="s">
        <v>1</v>
      </c>
      <c r="I12" s="75">
        <f>(I11*F13)/60</f>
        <v>12.15</v>
      </c>
      <c r="K12" s="37" t="s">
        <v>103</v>
      </c>
      <c r="L12" s="70">
        <f>L39*((L11)+L9+L8+L7+L10)</f>
        <v>77611.72423688682</v>
      </c>
      <c r="M12" s="172"/>
      <c r="N12" s="168"/>
      <c r="O12" s="168"/>
      <c r="U12">
        <v>7</v>
      </c>
      <c r="V12">
        <v>1.3</v>
      </c>
    </row>
    <row r="13" spans="4:22" ht="12.75">
      <c r="D13" s="242" t="s">
        <v>98</v>
      </c>
      <c r="E13" s="243"/>
      <c r="F13" s="138">
        <v>18</v>
      </c>
      <c r="H13" s="37" t="s">
        <v>65</v>
      </c>
      <c r="I13" s="70">
        <f>IF(F19*F10/F11*F9/F11&lt;=F19*F10/F9,F19*F10/F11*F9/F11,F19/F11*F10)</f>
        <v>240</v>
      </c>
      <c r="K13" s="37" t="s">
        <v>139</v>
      </c>
      <c r="L13" s="72">
        <f>($I$41+$F$10*Sheet2!$G$24/365)*$I$27/24</f>
        <v>19223.47385402314</v>
      </c>
      <c r="M13" s="172"/>
      <c r="N13" s="168"/>
      <c r="O13" s="168"/>
      <c r="U13">
        <v>8</v>
      </c>
      <c r="V13">
        <v>1.29</v>
      </c>
    </row>
    <row r="14" spans="4:22" ht="12.75">
      <c r="D14" s="25" t="s">
        <v>13</v>
      </c>
      <c r="E14" s="4"/>
      <c r="F14" s="138">
        <v>10</v>
      </c>
      <c r="H14" s="25" t="s">
        <v>30</v>
      </c>
      <c r="I14" s="70">
        <f>(L12/(F18*I8))*((F9/F10)+2)/(F9/F10)</f>
        <v>140.13227987215677</v>
      </c>
      <c r="K14" s="37" t="s">
        <v>140</v>
      </c>
      <c r="L14" s="70">
        <f>($I$42/25/365)*$I$8/10</f>
        <v>8316.62312359391</v>
      </c>
      <c r="M14" s="172"/>
      <c r="N14" s="168"/>
      <c r="O14" s="168"/>
      <c r="U14">
        <v>9</v>
      </c>
      <c r="V14">
        <v>1.29</v>
      </c>
    </row>
    <row r="15" spans="4:22" ht="12.75">
      <c r="D15" s="25" t="s">
        <v>10</v>
      </c>
      <c r="E15" s="4"/>
      <c r="F15" s="138" t="s">
        <v>16</v>
      </c>
      <c r="H15" s="25" t="s">
        <v>31</v>
      </c>
      <c r="I15" s="70">
        <f>L15/(F18*I8)*((F9/F10)+2)/(F9/F10)</f>
        <v>49.72517509847523</v>
      </c>
      <c r="K15" s="25" t="s">
        <v>70</v>
      </c>
      <c r="L15" s="72">
        <f>SUM(L13:L14)</f>
        <v>27540.096977617053</v>
      </c>
      <c r="M15" s="174"/>
      <c r="N15" s="158"/>
      <c r="O15" s="158"/>
      <c r="U15">
        <v>10</v>
      </c>
      <c r="V15">
        <v>1.29</v>
      </c>
    </row>
    <row r="16" spans="4:22" ht="12.75">
      <c r="D16" s="230" t="s">
        <v>12</v>
      </c>
      <c r="E16" s="231"/>
      <c r="F16" s="139" t="s">
        <v>4</v>
      </c>
      <c r="H16" s="25" t="s">
        <v>107</v>
      </c>
      <c r="I16" s="70">
        <f>I14+I15</f>
        <v>189.857454970632</v>
      </c>
      <c r="K16" s="25" t="s">
        <v>112</v>
      </c>
      <c r="L16" s="70">
        <f>SUM(L12:L14)</f>
        <v>105151.82121450386</v>
      </c>
      <c r="M16" s="172"/>
      <c r="N16" s="168"/>
      <c r="O16" s="168"/>
      <c r="U16">
        <v>11</v>
      </c>
      <c r="V16">
        <v>1.3</v>
      </c>
    </row>
    <row r="17" spans="4:22" ht="12.75">
      <c r="D17" s="242" t="s">
        <v>114</v>
      </c>
      <c r="E17" s="231"/>
      <c r="F17" s="140">
        <v>0.3</v>
      </c>
      <c r="H17" s="25" t="s">
        <v>108</v>
      </c>
      <c r="I17" s="70">
        <f>I13-I16</f>
        <v>50.142545029367994</v>
      </c>
      <c r="K17" s="25" t="s">
        <v>113</v>
      </c>
      <c r="L17" s="70">
        <f>L6-(L6*F17)</f>
        <v>120959.99999999997</v>
      </c>
      <c r="M17" s="172"/>
      <c r="N17" s="168"/>
      <c r="O17" s="168"/>
      <c r="U17">
        <v>12</v>
      </c>
      <c r="V17">
        <v>1.31</v>
      </c>
    </row>
    <row r="18" spans="4:22" ht="12.75">
      <c r="D18" s="82" t="s">
        <v>29</v>
      </c>
      <c r="E18" s="7" t="s">
        <v>24</v>
      </c>
      <c r="F18" s="138">
        <v>80</v>
      </c>
      <c r="H18" s="25" t="s">
        <v>109</v>
      </c>
      <c r="I18" s="76">
        <f>I17/I13</f>
        <v>0.2089272709557</v>
      </c>
      <c r="K18" s="37" t="s">
        <v>124</v>
      </c>
      <c r="L18" s="56">
        <f>F20/(50*5*8)</f>
        <v>47</v>
      </c>
      <c r="M18" s="172"/>
      <c r="N18" s="168"/>
      <c r="O18" s="168"/>
      <c r="U18">
        <v>13</v>
      </c>
      <c r="V18">
        <v>1.33</v>
      </c>
    </row>
    <row r="19" spans="4:22" ht="12.75" customHeight="1">
      <c r="D19" s="25"/>
      <c r="E19" s="6" t="s">
        <v>25</v>
      </c>
      <c r="F19" s="141">
        <v>1600</v>
      </c>
      <c r="H19" s="77" t="s">
        <v>126</v>
      </c>
      <c r="I19" s="78">
        <f>L17-L16</f>
        <v>15808.178785496115</v>
      </c>
      <c r="K19" s="73" t="s">
        <v>67</v>
      </c>
      <c r="L19" s="18">
        <f>-PMT(F26,F27,F25,0,0)</f>
        <v>8196.621878339145</v>
      </c>
      <c r="M19" s="172"/>
      <c r="N19" s="158"/>
      <c r="O19" s="158"/>
      <c r="U19">
        <v>14</v>
      </c>
      <c r="V19">
        <v>1.42</v>
      </c>
    </row>
    <row r="20" spans="4:22" ht="12.75" customHeight="1" thickBot="1">
      <c r="D20" s="25" t="s">
        <v>34</v>
      </c>
      <c r="E20" s="4" t="s">
        <v>137</v>
      </c>
      <c r="F20" s="142">
        <v>94000</v>
      </c>
      <c r="H20" s="73" t="s">
        <v>127</v>
      </c>
      <c r="I20" s="112">
        <f>I19/L17</f>
        <v>0.13068930874252743</v>
      </c>
      <c r="K20" s="73" t="s">
        <v>119</v>
      </c>
      <c r="L20" s="19">
        <f>L19/365</f>
        <v>22.456498296819575</v>
      </c>
      <c r="M20" s="172"/>
      <c r="N20" s="158"/>
      <c r="O20" s="158"/>
      <c r="U20">
        <v>15</v>
      </c>
      <c r="V20">
        <v>1.44</v>
      </c>
    </row>
    <row r="21" spans="4:22" ht="12.75" customHeight="1" thickTop="1">
      <c r="D21" s="25"/>
      <c r="E21" s="4" t="s">
        <v>53</v>
      </c>
      <c r="F21" s="143">
        <v>2</v>
      </c>
      <c r="H21" s="77" t="s">
        <v>128</v>
      </c>
      <c r="I21" s="79">
        <f>I19/(((I42)/365)*24/I27)</f>
        <v>0.023975149003358568</v>
      </c>
      <c r="K21" s="233" t="s">
        <v>54</v>
      </c>
      <c r="L21" s="234"/>
      <c r="M21" s="175"/>
      <c r="N21" s="168"/>
      <c r="O21" s="168"/>
      <c r="U21">
        <v>16</v>
      </c>
      <c r="V21">
        <v>1.46</v>
      </c>
    </row>
    <row r="22" spans="4:22" ht="12.75" customHeight="1">
      <c r="D22" s="25"/>
      <c r="E22" s="4" t="s">
        <v>35</v>
      </c>
      <c r="F22" s="138" t="s">
        <v>46</v>
      </c>
      <c r="H22" s="113" t="s">
        <v>134</v>
      </c>
      <c r="I22" s="123">
        <f>L17/L12</f>
        <v>1.558527415662167</v>
      </c>
      <c r="K22" s="237">
        <f>VLOOKUP(F22,D45:F53,2,FALSE)</f>
        <v>750000</v>
      </c>
      <c r="L22" s="238"/>
      <c r="M22" s="172"/>
      <c r="N22" s="168"/>
      <c r="O22" s="168"/>
      <c r="U22">
        <v>17</v>
      </c>
      <c r="V22">
        <v>1.49</v>
      </c>
    </row>
    <row r="23" spans="4:22" ht="12.75" customHeight="1" thickBot="1">
      <c r="D23" s="25"/>
      <c r="E23" s="4" t="s">
        <v>33</v>
      </c>
      <c r="F23" s="138">
        <v>2</v>
      </c>
      <c r="H23" s="124" t="s">
        <v>0</v>
      </c>
      <c r="I23" s="122">
        <f>I25/I24</f>
        <v>0.19125</v>
      </c>
      <c r="K23" s="74" t="s">
        <v>66</v>
      </c>
      <c r="L23" s="18">
        <f>-PMT(F28,F29,K22,0,0)</f>
        <v>125600.82186806599</v>
      </c>
      <c r="M23" s="172"/>
      <c r="N23" s="168"/>
      <c r="O23" s="168"/>
      <c r="U23">
        <v>18</v>
      </c>
      <c r="V23">
        <v>1.51</v>
      </c>
    </row>
    <row r="24" spans="3:22" ht="13.5" thickTop="1">
      <c r="C24" s="10"/>
      <c r="D24" s="25"/>
      <c r="E24" s="4" t="s">
        <v>52</v>
      </c>
      <c r="F24" s="142">
        <v>1.8</v>
      </c>
      <c r="G24" s="5"/>
      <c r="H24" s="25" t="s">
        <v>14</v>
      </c>
      <c r="I24" s="46">
        <f>($F$10/$F$12)*$I$8</f>
        <v>63.529411764705884</v>
      </c>
      <c r="K24" s="85" t="s">
        <v>119</v>
      </c>
      <c r="L24" s="18">
        <f>L23/365</f>
        <v>344.1118407344274</v>
      </c>
      <c r="M24" s="172"/>
      <c r="N24" s="168"/>
      <c r="O24" s="168"/>
      <c r="U24">
        <v>19</v>
      </c>
      <c r="V24">
        <v>1.53</v>
      </c>
    </row>
    <row r="25" spans="3:22" ht="13.5" customHeight="1">
      <c r="C25" s="10"/>
      <c r="D25" s="83" t="s">
        <v>115</v>
      </c>
      <c r="E25" s="87" t="s">
        <v>116</v>
      </c>
      <c r="F25" s="144">
        <v>55000</v>
      </c>
      <c r="G25" s="80"/>
      <c r="H25" s="25" t="s">
        <v>18</v>
      </c>
      <c r="I25" s="47">
        <f>$I$11*$F$13/60</f>
        <v>12.15</v>
      </c>
      <c r="K25" s="20" t="s">
        <v>36</v>
      </c>
      <c r="L25" s="89">
        <f>VLOOKUP(F22,D43:H54,3,FALSE)</f>
        <v>167.7</v>
      </c>
      <c r="M25" s="176"/>
      <c r="N25" s="168"/>
      <c r="O25" s="168"/>
      <c r="U25">
        <v>20</v>
      </c>
      <c r="V25">
        <v>1.56</v>
      </c>
    </row>
    <row r="26" spans="3:22" ht="13.5" thickBot="1">
      <c r="C26" s="10"/>
      <c r="D26" s="83"/>
      <c r="E26" s="87" t="s">
        <v>68</v>
      </c>
      <c r="F26" s="145">
        <v>0.08</v>
      </c>
      <c r="G26" s="80"/>
      <c r="H26" s="37" t="s">
        <v>20</v>
      </c>
      <c r="I26" s="48">
        <f>SUM(I24:I25)</f>
        <v>75.67941176470589</v>
      </c>
      <c r="K26" s="21" t="s">
        <v>37</v>
      </c>
      <c r="L26" s="90">
        <f>VLOOKUP(F22,D43:H54,5,FALSE)</f>
        <v>5.5</v>
      </c>
      <c r="M26" s="177"/>
      <c r="N26" s="168"/>
      <c r="U26">
        <v>21</v>
      </c>
      <c r="V26">
        <v>1.59</v>
      </c>
    </row>
    <row r="27" spans="4:22" ht="14.25" thickBot="1" thickTop="1">
      <c r="D27" s="83"/>
      <c r="E27" s="87" t="s">
        <v>117</v>
      </c>
      <c r="F27" s="138">
        <v>10</v>
      </c>
      <c r="G27" s="80"/>
      <c r="H27" s="49" t="s">
        <v>104</v>
      </c>
      <c r="I27" s="50">
        <f>($F$10/$F$12+($F$13*($I$8/2))/60)</f>
        <v>8.408823529411764</v>
      </c>
      <c r="M27" s="178"/>
      <c r="N27" s="168"/>
      <c r="U27">
        <v>22</v>
      </c>
      <c r="V27">
        <v>1.61</v>
      </c>
    </row>
    <row r="28" spans="4:22" ht="14.25" thickBot="1" thickTop="1">
      <c r="D28" s="83" t="s">
        <v>118</v>
      </c>
      <c r="E28" s="87" t="s">
        <v>68</v>
      </c>
      <c r="F28" s="145">
        <v>0.07</v>
      </c>
      <c r="G28" s="80"/>
      <c r="H28" s="51" t="s">
        <v>100</v>
      </c>
      <c r="I28" s="52">
        <f>F35*2+4</f>
        <v>8.67156862745098</v>
      </c>
      <c r="J28" s="87"/>
      <c r="K28" s="60" t="s">
        <v>64</v>
      </c>
      <c r="L28" s="91"/>
      <c r="M28" s="177"/>
      <c r="N28" s="158"/>
      <c r="U28">
        <v>23</v>
      </c>
      <c r="V28">
        <v>1.64</v>
      </c>
    </row>
    <row r="29" spans="4:22" ht="14.25" thickBot="1" thickTop="1">
      <c r="D29" s="83"/>
      <c r="E29" s="87" t="s">
        <v>117</v>
      </c>
      <c r="F29" s="138">
        <v>8</v>
      </c>
      <c r="G29" s="81"/>
      <c r="H29" s="37"/>
      <c r="I29" s="218"/>
      <c r="J29" s="98"/>
      <c r="K29" s="101">
        <v>1997</v>
      </c>
      <c r="L29" s="102">
        <f>0.902/0.902</f>
        <v>1</v>
      </c>
      <c r="M29" s="179"/>
      <c r="N29" s="168"/>
      <c r="T29" s="65"/>
      <c r="U29">
        <v>24</v>
      </c>
      <c r="V29">
        <v>1.67</v>
      </c>
    </row>
    <row r="30" spans="4:22" ht="12.75" customHeight="1" thickTop="1">
      <c r="D30" s="83" t="s">
        <v>120</v>
      </c>
      <c r="E30" s="87" t="s">
        <v>121</v>
      </c>
      <c r="F30" s="146">
        <v>2000</v>
      </c>
      <c r="G30" s="80"/>
      <c r="H30" s="235" t="s">
        <v>59</v>
      </c>
      <c r="I30" s="236"/>
      <c r="J30" s="99"/>
      <c r="K30" s="101">
        <v>1998</v>
      </c>
      <c r="L30" s="103">
        <f>0.903/0.902</f>
        <v>1.001108647450111</v>
      </c>
      <c r="M30" s="180"/>
      <c r="N30" s="168"/>
      <c r="U30">
        <v>25</v>
      </c>
      <c r="V30">
        <v>1.7</v>
      </c>
    </row>
    <row r="31" spans="4:22" ht="12.75">
      <c r="D31" s="83"/>
      <c r="E31" s="87" t="s">
        <v>122</v>
      </c>
      <c r="F31" s="147" t="s">
        <v>94</v>
      </c>
      <c r="G31" s="97"/>
      <c r="H31" s="22" t="s">
        <v>63</v>
      </c>
      <c r="I31" s="23">
        <f>457013*VLOOKUP(F30,K29:L38,2,0)</f>
        <v>485417.8035516092</v>
      </c>
      <c r="K31" s="101">
        <v>1999</v>
      </c>
      <c r="L31" s="103">
        <f>0.912/0.901</f>
        <v>1.0122086570477247</v>
      </c>
      <c r="M31" s="181"/>
      <c r="N31" s="168"/>
      <c r="U31">
        <v>26</v>
      </c>
      <c r="V31">
        <v>1.73</v>
      </c>
    </row>
    <row r="32" spans="4:22" ht="13.5" thickBot="1">
      <c r="D32" s="84"/>
      <c r="E32" s="120" t="s">
        <v>123</v>
      </c>
      <c r="F32" s="148">
        <v>6000</v>
      </c>
      <c r="G32" s="1"/>
      <c r="H32" s="22" t="s">
        <v>55</v>
      </c>
      <c r="I32" s="24">
        <f>98768*VLOOKUP(F30,K29:L38,2,0)</f>
        <v>104906.74361820197</v>
      </c>
      <c r="K32" s="101">
        <v>2000</v>
      </c>
      <c r="L32" s="103">
        <f>0.957/0.901</f>
        <v>1.062153163152053</v>
      </c>
      <c r="M32" s="182"/>
      <c r="N32" s="168"/>
      <c r="U32">
        <v>27</v>
      </c>
      <c r="V32">
        <v>1.76</v>
      </c>
    </row>
    <row r="33" spans="4:22" ht="14.25" thickBot="1" thickTop="1">
      <c r="D33" s="25"/>
      <c r="E33" s="4"/>
      <c r="F33" s="4"/>
      <c r="G33" s="86"/>
      <c r="H33" s="22" t="s">
        <v>56</v>
      </c>
      <c r="I33" s="115">
        <f>VLOOKUP(F31,K46:L48,2,FALSE)*VLOOKUP(F30,K29:L38,2,0)</f>
        <v>126674.51054384015</v>
      </c>
      <c r="K33" s="101">
        <v>2001</v>
      </c>
      <c r="L33" s="103">
        <f>0.973/0.901</f>
        <v>1.0799112097669257</v>
      </c>
      <c r="M33" s="183"/>
      <c r="N33" s="168"/>
      <c r="U33">
        <v>28</v>
      </c>
      <c r="V33">
        <v>1.79</v>
      </c>
    </row>
    <row r="34" spans="4:22" ht="14.25" thickBot="1" thickTop="1">
      <c r="D34" s="228" t="s">
        <v>17</v>
      </c>
      <c r="E34" s="229"/>
      <c r="F34" s="251"/>
      <c r="H34" s="22" t="s">
        <v>57</v>
      </c>
      <c r="I34" s="116">
        <f>129290*VLOOKUP(F30,K29:L38,2,0)</f>
        <v>137325.78246392895</v>
      </c>
      <c r="K34" s="101">
        <v>2002</v>
      </c>
      <c r="L34" s="103">
        <f>1/0.901</f>
        <v>1.1098779134295227</v>
      </c>
      <c r="M34" s="183"/>
      <c r="N34" s="158"/>
      <c r="U34">
        <v>29</v>
      </c>
      <c r="V34">
        <v>1.82</v>
      </c>
    </row>
    <row r="35" spans="4:22" ht="13.5" thickBot="1">
      <c r="D35" s="249" t="s">
        <v>32</v>
      </c>
      <c r="E35" s="250"/>
      <c r="F35" s="109">
        <f>I27/24*(F11/F10)</f>
        <v>2.3357843137254903</v>
      </c>
      <c r="H35" s="22" t="s">
        <v>60</v>
      </c>
      <c r="I35" s="116">
        <f>IF(F16="CTC",I34*2*F10/F14,0)</f>
        <v>0</v>
      </c>
      <c r="K35" s="101">
        <v>2003</v>
      </c>
      <c r="L35" s="103">
        <f>1.017/0.901</f>
        <v>1.1287458379578246</v>
      </c>
      <c r="M35" s="182"/>
      <c r="N35" s="168"/>
      <c r="U35">
        <v>30</v>
      </c>
      <c r="V35">
        <v>1.85</v>
      </c>
    </row>
    <row r="36" spans="4:14" ht="12.75">
      <c r="D36" s="25" t="s">
        <v>8</v>
      </c>
      <c r="E36" s="4"/>
      <c r="F36" s="57">
        <f>IF(F15="Yes",2,4)</f>
        <v>2</v>
      </c>
      <c r="H36" s="22" t="s">
        <v>102</v>
      </c>
      <c r="I36" s="116">
        <f>20000*VLOOKUP(F30,K29:L38,2,0)</f>
        <v>21243.063263041062</v>
      </c>
      <c r="K36" s="101">
        <v>2004</v>
      </c>
      <c r="L36" s="103">
        <f>1.097/0.901</f>
        <v>1.2175360710321863</v>
      </c>
      <c r="M36" s="81"/>
      <c r="N36" s="168"/>
    </row>
    <row r="37" spans="4:22" ht="14.25" customHeight="1">
      <c r="D37" s="230" t="s">
        <v>9</v>
      </c>
      <c r="E37" s="232"/>
      <c r="F37" s="57">
        <f>VLOOKUP(F16,K40:L43,2,0)</f>
        <v>0.7</v>
      </c>
      <c r="H37" s="22" t="s">
        <v>101</v>
      </c>
      <c r="I37" s="116">
        <f>IF(F16="ABS",I36*2*F10/F14,0)</f>
        <v>509833.5183129854</v>
      </c>
      <c r="J37" s="100"/>
      <c r="K37" s="101">
        <v>2005</v>
      </c>
      <c r="L37" s="103">
        <f>1.185/0.901</f>
        <v>1.3152053274139845</v>
      </c>
      <c r="M37" s="181"/>
      <c r="N37" s="168"/>
      <c r="V37" s="12">
        <f>L15/L16</f>
        <v>0.2619079409137079</v>
      </c>
    </row>
    <row r="38" spans="4:14" ht="13.5" thickBot="1">
      <c r="D38" s="242" t="s">
        <v>7</v>
      </c>
      <c r="E38" s="254"/>
      <c r="F38" s="106">
        <f>(F14/F12)*60</f>
        <v>35.294117647058826</v>
      </c>
      <c r="H38" s="22" t="s">
        <v>58</v>
      </c>
      <c r="I38" s="117">
        <v>0.08</v>
      </c>
      <c r="J38" s="100"/>
      <c r="K38" s="104">
        <v>2006</v>
      </c>
      <c r="L38" s="105">
        <f>1.25/0.901</f>
        <v>1.3873473917869035</v>
      </c>
      <c r="M38" s="182"/>
      <c r="N38" s="158"/>
    </row>
    <row r="39" spans="4:14" ht="14.25" thickBot="1" thickTop="1">
      <c r="D39" s="21" t="s">
        <v>5</v>
      </c>
      <c r="E39" s="107"/>
      <c r="F39" s="88">
        <v>1440</v>
      </c>
      <c r="H39" s="22" t="s">
        <v>59</v>
      </c>
      <c r="I39" s="115">
        <f>(F10*I33+F10*I31+F10/F14*I32*2+I35)+(F32/5280)*F10/F14*I31+I37</f>
        <v>83098006.74139842</v>
      </c>
      <c r="J39" s="100"/>
      <c r="K39" t="s">
        <v>143</v>
      </c>
      <c r="L39" s="50">
        <f>($F$10/$F$12+($F$13*($I$8/2))/60)/($F$10/$F$12+($F$13*(1/2))/60)</f>
        <v>1.1664626682986534</v>
      </c>
      <c r="M39" s="183"/>
      <c r="N39" s="168"/>
    </row>
    <row r="40" spans="5:14" ht="14.25" thickBot="1" thickTop="1">
      <c r="E40" s="214"/>
      <c r="F40" s="214"/>
      <c r="G40" s="110"/>
      <c r="H40" s="108" t="s">
        <v>61</v>
      </c>
      <c r="I40" s="118">
        <f>-PMT(I38,30,I39,,)</f>
        <v>7381382.65843667</v>
      </c>
      <c r="J40" s="67"/>
      <c r="K40" s="38" t="s">
        <v>6</v>
      </c>
      <c r="L40" s="39">
        <v>0.6</v>
      </c>
      <c r="M40" s="184"/>
      <c r="N40" s="168"/>
    </row>
    <row r="41" spans="5:17" ht="14.25" customHeight="1" thickBot="1" thickTop="1">
      <c r="E41" s="215"/>
      <c r="F41" s="215"/>
      <c r="G41" s="206"/>
      <c r="H41" s="111" t="s">
        <v>62</v>
      </c>
      <c r="I41" s="118">
        <f>I40/365</f>
        <v>20222.966187497725</v>
      </c>
      <c r="K41" s="40" t="s">
        <v>4</v>
      </c>
      <c r="L41" s="41">
        <v>0.7</v>
      </c>
      <c r="M41" s="185"/>
      <c r="N41" s="168"/>
      <c r="P41" s="187"/>
      <c r="Q41" s="190"/>
    </row>
    <row r="42" spans="5:16" ht="14.25" customHeight="1" thickBot="1" thickTop="1">
      <c r="E42" s="264" t="s">
        <v>111</v>
      </c>
      <c r="F42" s="265"/>
      <c r="G42" s="265"/>
      <c r="H42" s="266"/>
      <c r="I42" s="119">
        <f>I39+(K22*I8*F23+F25*F18*I8)*I27/365</f>
        <v>84321317.78088272</v>
      </c>
      <c r="K42" s="40" t="s">
        <v>3</v>
      </c>
      <c r="L42" s="42">
        <v>0.8</v>
      </c>
      <c r="M42" s="186"/>
      <c r="N42" s="158"/>
      <c r="P42" s="158"/>
    </row>
    <row r="43" spans="4:16" ht="14.25" thickBot="1" thickTop="1">
      <c r="D43" s="228" t="s">
        <v>38</v>
      </c>
      <c r="E43" s="229"/>
      <c r="F43" s="26" t="s">
        <v>39</v>
      </c>
      <c r="G43" s="114"/>
      <c r="H43" s="27" t="s">
        <v>40</v>
      </c>
      <c r="K43" s="43" t="s">
        <v>22</v>
      </c>
      <c r="L43" s="44">
        <v>1</v>
      </c>
      <c r="M43" s="173"/>
      <c r="N43" s="158"/>
      <c r="P43" s="158"/>
    </row>
    <row r="44" spans="4:16" ht="12.75">
      <c r="D44" s="25" t="s">
        <v>41</v>
      </c>
      <c r="E44" s="3" t="s">
        <v>162</v>
      </c>
      <c r="F44" s="4" t="s">
        <v>42</v>
      </c>
      <c r="G44" s="15"/>
      <c r="H44" s="28" t="s">
        <v>42</v>
      </c>
      <c r="K44" s="247" t="s">
        <v>19</v>
      </c>
      <c r="L44" s="45" t="s">
        <v>16</v>
      </c>
      <c r="M44" s="68"/>
      <c r="N44" s="168"/>
      <c r="P44" s="168"/>
    </row>
    <row r="45" spans="4:16" ht="13.5" thickBot="1">
      <c r="D45" s="29" t="s">
        <v>43</v>
      </c>
      <c r="E45" s="14">
        <v>600000</v>
      </c>
      <c r="F45" s="15">
        <v>115</v>
      </c>
      <c r="G45" s="15"/>
      <c r="H45" s="30">
        <v>3.5</v>
      </c>
      <c r="J45" s="66"/>
      <c r="K45" s="248"/>
      <c r="L45" s="93" t="s">
        <v>11</v>
      </c>
      <c r="M45" s="61"/>
      <c r="N45" s="168"/>
      <c r="P45" s="168"/>
    </row>
    <row r="46" spans="4:16" ht="13.5" thickTop="1">
      <c r="D46" s="29" t="s">
        <v>44</v>
      </c>
      <c r="E46" s="14">
        <v>650000</v>
      </c>
      <c r="F46" s="15">
        <v>135</v>
      </c>
      <c r="G46" s="15"/>
      <c r="H46" s="30">
        <v>4.2</v>
      </c>
      <c r="K46" s="94" t="s">
        <v>94</v>
      </c>
      <c r="L46" s="95">
        <v>119262</v>
      </c>
      <c r="M46" s="62"/>
      <c r="N46" s="158"/>
      <c r="P46" s="158"/>
    </row>
    <row r="47" spans="4:13" ht="12.75">
      <c r="D47" s="25" t="s">
        <v>45</v>
      </c>
      <c r="E47" s="14">
        <v>750000</v>
      </c>
      <c r="F47" s="15">
        <v>167.7</v>
      </c>
      <c r="G47" s="15"/>
      <c r="H47" s="30">
        <v>5.5</v>
      </c>
      <c r="I47" s="92"/>
      <c r="K47" s="40" t="s">
        <v>95</v>
      </c>
      <c r="L47" s="58">
        <v>786241</v>
      </c>
      <c r="M47" s="62"/>
    </row>
    <row r="48" spans="4:13" ht="13.5" thickBot="1">
      <c r="D48" s="25" t="s">
        <v>46</v>
      </c>
      <c r="E48" s="14">
        <v>750000</v>
      </c>
      <c r="F48" s="15">
        <v>167.7</v>
      </c>
      <c r="G48" s="15"/>
      <c r="H48" s="30">
        <v>5.5</v>
      </c>
      <c r="K48" s="96" t="s">
        <v>96</v>
      </c>
      <c r="L48" s="59">
        <v>3795915</v>
      </c>
      <c r="M48" s="62"/>
    </row>
    <row r="49" spans="4:13" ht="13.5" thickTop="1">
      <c r="D49" s="25" t="s">
        <v>47</v>
      </c>
      <c r="E49" s="14">
        <v>850000</v>
      </c>
      <c r="F49" s="15">
        <v>194</v>
      </c>
      <c r="G49" s="15"/>
      <c r="H49" s="30">
        <v>6</v>
      </c>
      <c r="M49" s="62"/>
    </row>
    <row r="50" spans="4:13" ht="13.5" thickBot="1">
      <c r="D50" s="29" t="s">
        <v>48</v>
      </c>
      <c r="E50" s="14">
        <v>900000</v>
      </c>
      <c r="F50" s="15">
        <v>194</v>
      </c>
      <c r="G50" s="15"/>
      <c r="H50" s="30">
        <v>6</v>
      </c>
      <c r="M50" s="62"/>
    </row>
    <row r="51" spans="4:13" ht="15.75" thickBot="1">
      <c r="D51" s="31" t="s">
        <v>49</v>
      </c>
      <c r="E51" s="14">
        <v>1400000</v>
      </c>
      <c r="F51" s="15">
        <v>193.8</v>
      </c>
      <c r="G51" s="15"/>
      <c r="H51" s="30">
        <v>6.3</v>
      </c>
      <c r="K51" s="154"/>
      <c r="L51" s="159"/>
      <c r="M51" s="63"/>
    </row>
    <row r="52" spans="4:13" ht="15.75" hidden="1" thickBot="1">
      <c r="D52" s="31" t="s">
        <v>50</v>
      </c>
      <c r="E52" s="14">
        <v>1900000</v>
      </c>
      <c r="F52" s="15">
        <v>204</v>
      </c>
      <c r="G52" s="35"/>
      <c r="H52" s="30">
        <v>6.5</v>
      </c>
      <c r="K52" s="155"/>
      <c r="L52" s="156"/>
      <c r="M52" s="62"/>
    </row>
    <row r="53" spans="4:13" ht="15.75" thickBot="1">
      <c r="D53" s="32" t="s">
        <v>51</v>
      </c>
      <c r="E53" s="33">
        <v>2400000</v>
      </c>
      <c r="F53" s="34">
        <v>275</v>
      </c>
      <c r="G53" s="4"/>
      <c r="H53" s="36">
        <v>10</v>
      </c>
      <c r="K53" s="154"/>
      <c r="L53" s="157"/>
      <c r="M53" s="64"/>
    </row>
    <row r="54" spans="4:13" ht="16.5" thickBot="1" thickTop="1">
      <c r="D54" s="32" t="s">
        <v>51</v>
      </c>
      <c r="E54" s="33">
        <v>2400000</v>
      </c>
      <c r="F54" s="34">
        <v>275</v>
      </c>
      <c r="G54" s="35"/>
      <c r="H54" s="36">
        <v>10</v>
      </c>
      <c r="K54" s="154"/>
      <c r="L54" s="157"/>
      <c r="M54" s="64"/>
    </row>
    <row r="55" spans="11:13" ht="14.25" thickBot="1" thickTop="1">
      <c r="K55" s="154"/>
      <c r="L55" s="154"/>
      <c r="M55" s="64"/>
    </row>
    <row r="56" spans="4:12" ht="13.5" customHeight="1" thickBot="1">
      <c r="D56" s="207" t="s">
        <v>129</v>
      </c>
      <c r="E56" s="208"/>
      <c r="F56" s="208"/>
      <c r="G56" s="208"/>
      <c r="H56" s="208"/>
      <c r="J56" s="208"/>
      <c r="K56" s="209"/>
      <c r="L56" s="154"/>
    </row>
    <row r="57" spans="4:12" ht="13.5" thickBot="1">
      <c r="D57" s="208"/>
      <c r="E57" s="208"/>
      <c r="F57" s="208"/>
      <c r="G57" s="208"/>
      <c r="H57" s="208"/>
      <c r="I57" s="208"/>
      <c r="J57" s="208"/>
      <c r="K57" s="209"/>
      <c r="L57" s="154"/>
    </row>
    <row r="58" spans="4:12" ht="15.75" thickBot="1">
      <c r="D58" s="16" t="s">
        <v>138</v>
      </c>
      <c r="I58" s="208"/>
      <c r="K58" s="154"/>
      <c r="L58" s="154"/>
    </row>
    <row r="59" spans="4:12" ht="15.75" thickBot="1">
      <c r="D59" s="16" t="s">
        <v>141</v>
      </c>
      <c r="K59" s="154"/>
      <c r="L59" s="154"/>
    </row>
    <row r="60" spans="4:12" ht="15">
      <c r="D60" s="16" t="s">
        <v>155</v>
      </c>
      <c r="K60" s="4"/>
      <c r="L60" s="4"/>
    </row>
    <row r="61" spans="4:12" ht="12.75">
      <c r="D61" s="2" t="s">
        <v>23</v>
      </c>
      <c r="K61" s="4"/>
      <c r="L61" s="4"/>
    </row>
    <row r="62" spans="4:14" ht="15">
      <c r="D62" s="16" t="s">
        <v>97</v>
      </c>
      <c r="E62" s="17">
        <v>39069</v>
      </c>
      <c r="F62" s="17">
        <v>39123</v>
      </c>
      <c r="J62" s="163"/>
      <c r="K62" s="163"/>
      <c r="L62" s="163"/>
      <c r="M62" s="163"/>
      <c r="N62" s="164"/>
    </row>
    <row r="63" spans="10:14" ht="12.75" customHeight="1">
      <c r="J63" s="165"/>
      <c r="K63" s="166"/>
      <c r="L63" s="166"/>
      <c r="M63" s="165"/>
      <c r="N63" s="167"/>
    </row>
    <row r="64" spans="4:14" ht="12.75" customHeight="1">
      <c r="D64" s="221" t="s">
        <v>165</v>
      </c>
      <c r="E64" s="222"/>
      <c r="F64" s="222"/>
      <c r="G64" s="222"/>
      <c r="H64" s="222"/>
      <c r="I64" s="222"/>
      <c r="J64" s="222"/>
      <c r="K64" s="222"/>
      <c r="L64" s="222"/>
      <c r="M64" s="222"/>
      <c r="N64" s="223"/>
    </row>
    <row r="65" spans="4:14" ht="12.75" customHeight="1">
      <c r="D65" s="220"/>
      <c r="E65" s="255"/>
      <c r="F65" s="255"/>
      <c r="G65" s="255"/>
      <c r="H65" s="255"/>
      <c r="I65" s="255"/>
      <c r="J65" s="255"/>
      <c r="K65" s="255"/>
      <c r="L65" s="255"/>
      <c r="M65" s="255"/>
      <c r="N65" s="256"/>
    </row>
    <row r="66" spans="4:14" ht="12.75" customHeight="1">
      <c r="D66" s="257" t="s">
        <v>130</v>
      </c>
      <c r="E66" s="258"/>
      <c r="F66" s="258"/>
      <c r="G66" s="258"/>
      <c r="H66" s="258"/>
      <c r="I66" s="258"/>
      <c r="J66" s="258"/>
      <c r="K66" s="258"/>
      <c r="L66" s="258"/>
      <c r="M66" s="258"/>
      <c r="N66" s="259"/>
    </row>
    <row r="67" spans="4:14" ht="12.75">
      <c r="D67" s="132" t="s">
        <v>131</v>
      </c>
      <c r="E67" s="133"/>
      <c r="F67" s="133"/>
      <c r="G67" s="133"/>
      <c r="H67" s="133"/>
      <c r="I67" s="133"/>
      <c r="J67" s="133"/>
      <c r="K67" s="153"/>
      <c r="L67" s="153"/>
      <c r="M67" s="133"/>
      <c r="N67" s="134"/>
    </row>
    <row r="68" spans="4:14" ht="12.75">
      <c r="D68" s="132" t="s">
        <v>132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4"/>
    </row>
    <row r="69" spans="4:14" ht="12.75">
      <c r="D69" s="132" t="s">
        <v>133</v>
      </c>
      <c r="E69" s="133"/>
      <c r="F69" s="133"/>
      <c r="G69" s="133"/>
      <c r="H69" s="133"/>
      <c r="I69" s="133"/>
      <c r="K69" s="133"/>
      <c r="L69" s="133"/>
      <c r="M69" s="161"/>
      <c r="N69" s="162"/>
    </row>
    <row r="70" ht="12.75">
      <c r="B70" s="10"/>
    </row>
    <row r="71" spans="4:5" ht="12.75">
      <c r="D71" t="s">
        <v>146</v>
      </c>
      <c r="E71" s="192">
        <f>I6</f>
        <v>19.528205128205126</v>
      </c>
    </row>
    <row r="72" spans="2:26" ht="13.5" thickBot="1">
      <c r="B72" t="s">
        <v>158</v>
      </c>
      <c r="C72" t="s">
        <v>112</v>
      </c>
      <c r="D72" t="s">
        <v>144</v>
      </c>
      <c r="E72" t="s">
        <v>167</v>
      </c>
      <c r="F72" t="s">
        <v>145</v>
      </c>
      <c r="G72" t="s">
        <v>143</v>
      </c>
      <c r="H72" t="s">
        <v>14</v>
      </c>
      <c r="I72" t="s">
        <v>18</v>
      </c>
      <c r="K72" t="s">
        <v>26</v>
      </c>
      <c r="L72" t="s">
        <v>67</v>
      </c>
      <c r="N72" t="s">
        <v>27</v>
      </c>
      <c r="O72" t="s">
        <v>85</v>
      </c>
      <c r="P72" t="s">
        <v>28</v>
      </c>
      <c r="Q72" t="s">
        <v>148</v>
      </c>
      <c r="R72" t="s">
        <v>139</v>
      </c>
      <c r="S72" t="s">
        <v>147</v>
      </c>
      <c r="T72" t="s">
        <v>149</v>
      </c>
      <c r="U72" t="s">
        <v>150</v>
      </c>
      <c r="V72" t="s">
        <v>152</v>
      </c>
      <c r="W72" t="s">
        <v>153</v>
      </c>
      <c r="X72" t="s">
        <v>151</v>
      </c>
      <c r="Y72" t="s">
        <v>156</v>
      </c>
      <c r="Z72" t="s">
        <v>157</v>
      </c>
    </row>
    <row r="73" spans="1:26" ht="13.5" thickBot="1">
      <c r="A73" s="203">
        <f aca="true" t="shared" si="0" ref="A73:A104">H73+I73</f>
        <v>7.208823529411765</v>
      </c>
      <c r="B73" s="10">
        <f>(Y73-E73)/E73</f>
        <v>-0.44400106245062987</v>
      </c>
      <c r="C73" s="11">
        <f>Q73+R73+S73</f>
        <v>24172.708061706664</v>
      </c>
      <c r="D73" s="199">
        <v>1</v>
      </c>
      <c r="E73" s="201">
        <f>$C$73/($F$10*$F$18*100*$D$73)*($F$9*$F$10/$F$11)+(2*$C$73)/($F$18*$F$10*100*$D$73)</f>
        <v>3.0719483161752215</v>
      </c>
      <c r="F73" s="200">
        <f>D73^2/2</f>
        <v>0.5</v>
      </c>
      <c r="G73">
        <f>($F$10/$F$12+($F$13*(D73/2))/60)/($F$10/$F$12+($F$13*(1/2))/60)</f>
        <v>1</v>
      </c>
      <c r="H73" s="130">
        <f>($F$10/$F$12)*D73</f>
        <v>7.0588235294117645</v>
      </c>
      <c r="I73" s="195">
        <f>F73*$F$13/60</f>
        <v>0.15</v>
      </c>
      <c r="J73" s="197">
        <f>($F$10/$F$12+($F$13*(D73/2))/60)</f>
        <v>7.208823529411765</v>
      </c>
      <c r="K73" s="196">
        <f aca="true" t="shared" si="1" ref="K73:K104">(H73+I73)*$F$21*$L$18+(IF(J73&gt;8,(H73+I73)*$F$21*$L$18+1.5*(H73+I73)*$F$21*$L$18-((H73+I73)*$F$21*$L$18),0))</f>
        <v>677.6294117647059</v>
      </c>
      <c r="L73" s="194">
        <f aca="true" t="shared" si="2" ref="L73:L104">$F$18*D73*$L$20*($I$27/24)+D73*$F$23*$L$24*($I$27/24)</f>
        <v>870.573749481376</v>
      </c>
      <c r="N73" s="193">
        <f aca="true" t="shared" si="3" ref="N73:N104">(H73*$L$25*$F$23+I73*$L$26*$F$23)*$F$24*0.8</f>
        <v>3411.6183529411774</v>
      </c>
      <c r="O73" s="193">
        <f>Sheet2!$G$24*0.5*D73/20*$F$10/365+(Sheet2!$G$24*0.5*D73/20*$F$10/365)*($F$10/$F$14*$I$32*2)/$I$39</f>
        <v>892.3317094798462</v>
      </c>
      <c r="P73" s="193">
        <f>Sheet2!$F$27*(K73+L73+N73)</f>
        <v>916.3406506293767</v>
      </c>
      <c r="Q73" s="193">
        <f aca="true" t="shared" si="4" ref="Q73:Q100">SUM(K73:P73)*G73</f>
        <v>6768.493874296481</v>
      </c>
      <c r="R73" s="195">
        <f>($I$41+$F$10*Sheet2!$G$24/365)*J73/24</f>
        <v>16480.144951455306</v>
      </c>
      <c r="S73" s="202">
        <f>($I$42/25/365)*D73/10</f>
        <v>924.069235954879</v>
      </c>
      <c r="T73" s="201">
        <f aca="true" t="shared" si="5" ref="T73:T101">Q73/($F$10*$F$18*100*D73)*($F$9*$F$10/$F$11)+(2*$C$73)/($F$18*$F$10*100*D73)</f>
        <v>0.896421542748949</v>
      </c>
      <c r="U73" s="201">
        <f aca="true" t="shared" si="6" ref="U73:U110">(R73+S73)/($F$10*$F$18*100*D73)*($F$9*$F$10/$F$11)+(2*(R73+S73)/($F$18*$F$10*100*D73))</f>
        <v>2.211785552983377</v>
      </c>
      <c r="V73" s="204">
        <f aca="true" t="shared" si="7" ref="V73:V104">H73/D73</f>
        <v>7.0588235294117645</v>
      </c>
      <c r="W73" s="204">
        <f aca="true" t="shared" si="8" ref="W73:W104">I73/D73</f>
        <v>0.15</v>
      </c>
      <c r="X73" s="190">
        <f>A73/D73</f>
        <v>7.208823529411765</v>
      </c>
      <c r="Y73" s="210">
        <f>$I$4</f>
        <v>1.7079999999999997</v>
      </c>
      <c r="Z73" s="10">
        <f>($Y$73-$E$73)/$E$73</f>
        <v>-0.44400106245062987</v>
      </c>
    </row>
    <row r="74" spans="1:26" ht="13.5" thickBot="1">
      <c r="A74" s="203">
        <f t="shared" si="0"/>
        <v>14.717647058823529</v>
      </c>
      <c r="B74" s="10">
        <f aca="true" t="shared" si="9" ref="B74:B133">(Y74-E74)/E74</f>
        <v>-0.17367858849402054</v>
      </c>
      <c r="C74" s="11">
        <f aca="true" t="shared" si="10" ref="C74:C133">Q74+R74+S74</f>
        <v>32529.714982225752</v>
      </c>
      <c r="D74" s="187">
        <v>2</v>
      </c>
      <c r="E74" s="201">
        <f aca="true" t="shared" si="11" ref="E74:E133">C74/($F$10*$F$18*100*D74)*($F$9*$F$10/$F$11)+(2*C74)/($F$18*$F$10*100*D74)</f>
        <v>2.0669923061622617</v>
      </c>
      <c r="F74" s="191">
        <f aca="true" t="shared" si="12" ref="F74:F133">D74^2/2</f>
        <v>2</v>
      </c>
      <c r="G74">
        <f aca="true" t="shared" si="13" ref="G74:G133">($F$10/$F$12+($F$13*(D74/2))/60)/($F$10/$F$12+($F$13*(1/2))/60)</f>
        <v>1.0208078335373316</v>
      </c>
      <c r="H74" s="130">
        <f aca="true" t="shared" si="14" ref="H74:H112">($F$10/$F$12)*D74</f>
        <v>14.117647058823529</v>
      </c>
      <c r="I74" s="130">
        <f aca="true" t="shared" si="15" ref="I74:I112">F74*$F$13/60</f>
        <v>0.6</v>
      </c>
      <c r="J74" s="197">
        <f aca="true" t="shared" si="16" ref="J74:J112">($F$10/$F$12+($F$13*(D74/2))/60)</f>
        <v>7.358823529411764</v>
      </c>
      <c r="K74" s="196">
        <f t="shared" si="1"/>
        <v>1383.4588235294118</v>
      </c>
      <c r="L74" s="194">
        <f t="shared" si="2"/>
        <v>1741.147498962752</v>
      </c>
      <c r="N74" s="127">
        <f t="shared" si="3"/>
        <v>6827.988705882353</v>
      </c>
      <c r="O74" s="127">
        <f>Sheet2!$G$24*0.5*D74/20*$F$10/365+(Sheet2!$G$24*0.5*D74/20*$F$10/365)*($F$10/$F$14*$I$32*2)/$I$39</f>
        <v>1784.6634189596923</v>
      </c>
      <c r="P74" s="127">
        <f>Sheet2!$F$27*(K74+L74+N74)</f>
        <v>1838.7692737862258</v>
      </c>
      <c r="Q74" s="193">
        <f t="shared" si="4"/>
        <v>13858.515446039708</v>
      </c>
      <c r="R74" s="130">
        <f>($I$41+$F$10*Sheet2!$G$24/365)*J74/24</f>
        <v>16823.061064276288</v>
      </c>
      <c r="S74" s="198">
        <f aca="true" t="shared" si="17" ref="S74:S101">($I$42/25/365)*D74/10</f>
        <v>1848.138471909758</v>
      </c>
      <c r="T74" s="201">
        <f t="shared" si="5"/>
        <v>0.8913371196084262</v>
      </c>
      <c r="U74" s="201">
        <f t="shared" si="6"/>
        <v>1.186399137195155</v>
      </c>
      <c r="V74" s="204">
        <f t="shared" si="7"/>
        <v>7.0588235294117645</v>
      </c>
      <c r="W74" s="204">
        <f t="shared" si="8"/>
        <v>0.3</v>
      </c>
      <c r="X74" s="190">
        <f aca="true" t="shared" si="18" ref="X74:X110">A74/D74</f>
        <v>7.358823529411764</v>
      </c>
      <c r="Y74" s="210">
        <f aca="true" t="shared" si="19" ref="Y74:Y133">$I$4</f>
        <v>1.7079999999999997</v>
      </c>
      <c r="Z74" s="10">
        <f aca="true" t="shared" si="20" ref="Z74:Z133">(Y74-E74)/E74</f>
        <v>-0.17367858849402054</v>
      </c>
    </row>
    <row r="75" spans="1:26" ht="13.5" thickBot="1">
      <c r="A75" s="203">
        <f t="shared" si="0"/>
        <v>22.526470588235295</v>
      </c>
      <c r="B75" s="10">
        <f t="shared" si="9"/>
        <v>-0.021613001023926114</v>
      </c>
      <c r="C75" s="11">
        <f t="shared" si="10"/>
        <v>41210.68661194056</v>
      </c>
      <c r="D75" s="188">
        <v>3</v>
      </c>
      <c r="E75" s="201">
        <f t="shared" si="11"/>
        <v>1.7457304745335933</v>
      </c>
      <c r="F75" s="191">
        <f t="shared" si="12"/>
        <v>4.5</v>
      </c>
      <c r="G75">
        <f t="shared" si="13"/>
        <v>1.0416156670746635</v>
      </c>
      <c r="H75" s="130">
        <f t="shared" si="14"/>
        <v>21.176470588235293</v>
      </c>
      <c r="I75" s="130">
        <f t="shared" si="15"/>
        <v>1.35</v>
      </c>
      <c r="J75" s="197">
        <f t="shared" si="16"/>
        <v>7.508823529411765</v>
      </c>
      <c r="K75" s="196">
        <f t="shared" si="1"/>
        <v>2117.4882352941177</v>
      </c>
      <c r="L75" s="194">
        <f t="shared" si="2"/>
        <v>2611.721248444128</v>
      </c>
      <c r="N75" s="127">
        <f t="shared" si="3"/>
        <v>10249.111058823531</v>
      </c>
      <c r="O75" s="127">
        <f>Sheet2!$G$24*0.5*D75/20*$F$10/365+(Sheet2!$G$24*0.5*D75/20*$F$10/365)*($F$10/$F$14*$I$32*2)/$I$39</f>
        <v>2676.995128439538</v>
      </c>
      <c r="P75" s="127">
        <f>Sheet2!$F$27*(K75+L75+N75)</f>
        <v>2767.285869470548</v>
      </c>
      <c r="Q75" s="193">
        <f t="shared" si="4"/>
        <v>21272.50172697865</v>
      </c>
      <c r="R75" s="130">
        <f>($I$41+$F$10*Sheet2!$G$24/365)*J75/24</f>
        <v>17165.977177097266</v>
      </c>
      <c r="S75" s="198">
        <f t="shared" si="17"/>
        <v>2772.207707864637</v>
      </c>
      <c r="T75" s="201">
        <f t="shared" si="5"/>
        <v>0.9031408414447402</v>
      </c>
      <c r="U75" s="201">
        <f t="shared" si="6"/>
        <v>0.8446036652657473</v>
      </c>
      <c r="V75" s="204">
        <f t="shared" si="7"/>
        <v>7.0588235294117645</v>
      </c>
      <c r="W75" s="204">
        <f t="shared" si="8"/>
        <v>0.45</v>
      </c>
      <c r="X75" s="190">
        <f t="shared" si="18"/>
        <v>7.508823529411765</v>
      </c>
      <c r="Y75" s="210">
        <f t="shared" si="19"/>
        <v>1.7079999999999997</v>
      </c>
      <c r="Z75" s="10">
        <f t="shared" si="20"/>
        <v>-0.021613001023926114</v>
      </c>
    </row>
    <row r="76" spans="1:26" ht="13.5" thickBot="1">
      <c r="A76" s="203">
        <f t="shared" si="0"/>
        <v>30.635294117647057</v>
      </c>
      <c r="B76" s="10">
        <f t="shared" si="9"/>
        <v>0.07053120013074672</v>
      </c>
      <c r="C76" s="11">
        <f t="shared" si="10"/>
        <v>50218.05996260001</v>
      </c>
      <c r="D76" s="187">
        <v>4</v>
      </c>
      <c r="E76" s="201">
        <f t="shared" si="11"/>
        <v>1.5954696133951045</v>
      </c>
      <c r="F76" s="191">
        <f t="shared" si="12"/>
        <v>8</v>
      </c>
      <c r="G76">
        <f t="shared" si="13"/>
        <v>1.062423500611995</v>
      </c>
      <c r="H76" s="130">
        <f t="shared" si="14"/>
        <v>28.235294117647058</v>
      </c>
      <c r="I76" s="130">
        <f t="shared" si="15"/>
        <v>2.4</v>
      </c>
      <c r="J76" s="197">
        <f t="shared" si="16"/>
        <v>7.658823529411764</v>
      </c>
      <c r="K76" s="196">
        <f t="shared" si="1"/>
        <v>2879.7176470588233</v>
      </c>
      <c r="L76" s="194">
        <f t="shared" si="2"/>
        <v>3482.294997925504</v>
      </c>
      <c r="N76" s="127">
        <f t="shared" si="3"/>
        <v>13674.985411764705</v>
      </c>
      <c r="O76" s="127">
        <f>Sheet2!$G$24*0.5*D76/20*$F$10/365+(Sheet2!$G$24*0.5*D76/20*$F$10/365)*($F$10/$F$14*$I$32*2)/$I$39</f>
        <v>3569.3268379193846</v>
      </c>
      <c r="P76" s="127">
        <f>Sheet2!$F$27*(K76+L76+N76)</f>
        <v>3701.890437682341</v>
      </c>
      <c r="Q76" s="193">
        <f t="shared" si="4"/>
        <v>29012.889728862247</v>
      </c>
      <c r="R76" s="130">
        <f>($I$41+$F$10*Sheet2!$G$24/365)*J76/24</f>
        <v>17508.893289918244</v>
      </c>
      <c r="S76" s="198">
        <f t="shared" si="17"/>
        <v>3696.276943819516</v>
      </c>
      <c r="T76" s="201">
        <f t="shared" si="5"/>
        <v>0.9192427561424175</v>
      </c>
      <c r="U76" s="201">
        <f t="shared" si="6"/>
        <v>0.6737059293010434</v>
      </c>
      <c r="V76" s="204">
        <f t="shared" si="7"/>
        <v>7.0588235294117645</v>
      </c>
      <c r="W76" s="204">
        <f t="shared" si="8"/>
        <v>0.6</v>
      </c>
      <c r="X76" s="190">
        <f t="shared" si="18"/>
        <v>7.658823529411764</v>
      </c>
      <c r="Y76" s="210">
        <f t="shared" si="19"/>
        <v>1.7079999999999997</v>
      </c>
      <c r="Z76" s="10">
        <f t="shared" si="20"/>
        <v>0.07053120013074672</v>
      </c>
    </row>
    <row r="77" spans="1:26" ht="13.5" thickBot="1">
      <c r="A77" s="203">
        <f t="shared" si="0"/>
        <v>39.044117647058826</v>
      </c>
      <c r="B77" s="10">
        <f t="shared" si="9"/>
        <v>0.12838252725425503</v>
      </c>
      <c r="C77" s="11">
        <f t="shared" si="10"/>
        <v>59554.2720459531</v>
      </c>
      <c r="D77" s="187">
        <v>5</v>
      </c>
      <c r="E77" s="201">
        <f t="shared" si="11"/>
        <v>1.5136710811679746</v>
      </c>
      <c r="F77" s="191">
        <f t="shared" si="12"/>
        <v>12.5</v>
      </c>
      <c r="G77">
        <f t="shared" si="13"/>
        <v>1.0832313341493267</v>
      </c>
      <c r="H77" s="130">
        <f t="shared" si="14"/>
        <v>35.294117647058826</v>
      </c>
      <c r="I77" s="130">
        <f t="shared" si="15"/>
        <v>3.75</v>
      </c>
      <c r="J77" s="197">
        <f t="shared" si="16"/>
        <v>7.8088235294117645</v>
      </c>
      <c r="K77" s="196">
        <f t="shared" si="1"/>
        <v>3670.1470588235297</v>
      </c>
      <c r="L77" s="194">
        <f t="shared" si="2"/>
        <v>4352.86874740688</v>
      </c>
      <c r="N77" s="127">
        <f t="shared" si="3"/>
        <v>17105.61176470588</v>
      </c>
      <c r="O77" s="127">
        <f>Sheet2!$G$24*0.5*D77/20*$F$10/365+(Sheet2!$G$24*0.5*D77/20*$F$10/365)*($F$10/$F$14*$I$32*2)/$I$39</f>
        <v>4461.658547399231</v>
      </c>
      <c r="P77" s="127">
        <f>Sheet2!$F$27*(K77+L77+N77)</f>
        <v>4642.5829784216085</v>
      </c>
      <c r="Q77" s="193">
        <f t="shared" si="4"/>
        <v>37082.11646343948</v>
      </c>
      <c r="R77" s="130">
        <f>($I$41+$F$10*Sheet2!$G$24/365)*J77/24</f>
        <v>17851.809402739225</v>
      </c>
      <c r="S77" s="198">
        <f t="shared" si="17"/>
        <v>4620.346179774395</v>
      </c>
      <c r="T77" s="201">
        <f t="shared" si="5"/>
        <v>0.9371248732783648</v>
      </c>
      <c r="U77" s="201">
        <f t="shared" si="6"/>
        <v>0.5711672877222213</v>
      </c>
      <c r="V77" s="204">
        <f t="shared" si="7"/>
        <v>7.058823529411765</v>
      </c>
      <c r="W77" s="204">
        <f t="shared" si="8"/>
        <v>0.75</v>
      </c>
      <c r="X77" s="190">
        <f t="shared" si="18"/>
        <v>7.808823529411765</v>
      </c>
      <c r="Y77" s="210">
        <f t="shared" si="19"/>
        <v>1.7079999999999997</v>
      </c>
      <c r="Z77" s="10">
        <f t="shared" si="20"/>
        <v>0.12838252725425503</v>
      </c>
    </row>
    <row r="78" spans="1:26" ht="13.5" thickBot="1">
      <c r="A78" s="203">
        <f t="shared" si="0"/>
        <v>47.752941176470586</v>
      </c>
      <c r="B78" s="10">
        <f t="shared" si="9"/>
        <v>0.1649516011594696</v>
      </c>
      <c r="C78" s="11">
        <f t="shared" si="10"/>
        <v>69221.7598737488</v>
      </c>
      <c r="D78" s="187">
        <v>6</v>
      </c>
      <c r="E78" s="201">
        <f t="shared" si="11"/>
        <v>1.4661553306592627</v>
      </c>
      <c r="F78" s="191">
        <f t="shared" si="12"/>
        <v>18</v>
      </c>
      <c r="G78">
        <f t="shared" si="13"/>
        <v>1.1040391676866586</v>
      </c>
      <c r="H78" s="130">
        <f t="shared" si="14"/>
        <v>42.35294117647059</v>
      </c>
      <c r="I78" s="130">
        <f t="shared" si="15"/>
        <v>5.4</v>
      </c>
      <c r="J78" s="197">
        <f t="shared" si="16"/>
        <v>7.958823529411765</v>
      </c>
      <c r="K78" s="196">
        <f t="shared" si="1"/>
        <v>4488.776470588235</v>
      </c>
      <c r="L78" s="194">
        <f t="shared" si="2"/>
        <v>5223.442496888256</v>
      </c>
      <c r="N78" s="127">
        <f t="shared" si="3"/>
        <v>20540.99011764706</v>
      </c>
      <c r="O78" s="127">
        <f>Sheet2!$G$24*0.5*D78/20*$F$10/365+(Sheet2!$G$24*0.5*D78/20*$F$10/365)*($F$10/$F$14*$I$32*2)/$I$39</f>
        <v>5353.990256879076</v>
      </c>
      <c r="P78" s="127">
        <f>Sheet2!$F$27*(K78+L78+N78)</f>
        <v>5589.3634916883475</v>
      </c>
      <c r="Q78" s="193">
        <f t="shared" si="4"/>
        <v>45482.61894245931</v>
      </c>
      <c r="R78" s="130">
        <f>($I$41+$F$10*Sheet2!$G$24/365)*J78/24</f>
        <v>18194.725515560207</v>
      </c>
      <c r="S78" s="198">
        <f t="shared" si="17"/>
        <v>5544.415415729274</v>
      </c>
      <c r="T78" s="201">
        <f t="shared" si="5"/>
        <v>0.9559478627115505</v>
      </c>
      <c r="U78" s="201">
        <f t="shared" si="6"/>
        <v>0.5028081933363397</v>
      </c>
      <c r="V78" s="204">
        <f t="shared" si="7"/>
        <v>7.0588235294117645</v>
      </c>
      <c r="W78" s="204">
        <f t="shared" si="8"/>
        <v>0.9</v>
      </c>
      <c r="X78" s="190">
        <f t="shared" si="18"/>
        <v>7.958823529411764</v>
      </c>
      <c r="Y78" s="210">
        <f t="shared" si="19"/>
        <v>1.7079999999999997</v>
      </c>
      <c r="Z78" s="10">
        <f t="shared" si="20"/>
        <v>0.1649516011594696</v>
      </c>
    </row>
    <row r="79" spans="1:26" ht="13.5" thickBot="1">
      <c r="A79" s="203">
        <f t="shared" si="0"/>
        <v>56.76176470588235</v>
      </c>
      <c r="B79" s="10">
        <f t="shared" si="9"/>
        <v>0.0466261739069857</v>
      </c>
      <c r="C79" s="11">
        <f t="shared" si="10"/>
        <v>89888.82787901779</v>
      </c>
      <c r="D79" s="187">
        <v>7</v>
      </c>
      <c r="E79" s="201">
        <f t="shared" si="11"/>
        <v>1.6319102680416921</v>
      </c>
      <c r="F79" s="191">
        <f t="shared" si="12"/>
        <v>24.5</v>
      </c>
      <c r="G79">
        <f t="shared" si="13"/>
        <v>1.1248470012239902</v>
      </c>
      <c r="H79" s="130">
        <f t="shared" si="14"/>
        <v>49.41176470588235</v>
      </c>
      <c r="I79" s="130">
        <f t="shared" si="15"/>
        <v>7.35</v>
      </c>
      <c r="J79" s="197">
        <f t="shared" si="16"/>
        <v>8.108823529411765</v>
      </c>
      <c r="K79" s="196">
        <f t="shared" si="1"/>
        <v>13339.014705882353</v>
      </c>
      <c r="L79" s="194">
        <f t="shared" si="2"/>
        <v>6094.016246369632</v>
      </c>
      <c r="N79" s="127">
        <f t="shared" si="3"/>
        <v>23981.120470588226</v>
      </c>
      <c r="O79" s="127">
        <f>Sheet2!$G$24*0.5*D79/20*$F$10/365+(Sheet2!$G$24*0.5*D79/20*$F$10/365)*($F$10/$F$14*$I$32*2)/$I$39</f>
        <v>6246.321966358922</v>
      </c>
      <c r="P79" s="127">
        <f>Sheet2!$F$27*(K79+L79+N79)</f>
        <v>8020.883745016494</v>
      </c>
      <c r="Q79" s="193">
        <f t="shared" si="4"/>
        <v>64882.70159895245</v>
      </c>
      <c r="R79" s="130">
        <f>($I$41+$F$10*Sheet2!$G$24/365)*J79/24</f>
        <v>18537.641628381185</v>
      </c>
      <c r="S79" s="198">
        <f t="shared" si="17"/>
        <v>6468.484651684153</v>
      </c>
      <c r="T79" s="201">
        <f t="shared" si="5"/>
        <v>1.1658139297615637</v>
      </c>
      <c r="U79" s="201">
        <f t="shared" si="6"/>
        <v>0.45398026877499575</v>
      </c>
      <c r="V79" s="204">
        <f t="shared" si="7"/>
        <v>7.058823529411764</v>
      </c>
      <c r="W79" s="204">
        <f t="shared" si="8"/>
        <v>1.05</v>
      </c>
      <c r="X79" s="190">
        <f t="shared" si="18"/>
        <v>8.108823529411763</v>
      </c>
      <c r="Y79" s="210">
        <f t="shared" si="19"/>
        <v>1.7079999999999997</v>
      </c>
      <c r="Z79" s="10">
        <f t="shared" si="20"/>
        <v>0.0466261739069857</v>
      </c>
    </row>
    <row r="80" spans="1:26" ht="13.5" thickBot="1">
      <c r="A80" s="203">
        <f t="shared" si="0"/>
        <v>66.07058823529411</v>
      </c>
      <c r="B80" s="10">
        <f t="shared" si="9"/>
        <v>0.05200313366119732</v>
      </c>
      <c r="C80" s="11">
        <f t="shared" si="10"/>
        <v>102205.01874914313</v>
      </c>
      <c r="D80" s="187">
        <v>8</v>
      </c>
      <c r="E80" s="201">
        <f t="shared" si="11"/>
        <v>1.6235693082546172</v>
      </c>
      <c r="F80" s="191">
        <f t="shared" si="12"/>
        <v>32</v>
      </c>
      <c r="G80">
        <f t="shared" si="13"/>
        <v>1.1456548347613218</v>
      </c>
      <c r="H80" s="130">
        <f t="shared" si="14"/>
        <v>56.470588235294116</v>
      </c>
      <c r="I80" s="130">
        <f t="shared" si="15"/>
        <v>9.6</v>
      </c>
      <c r="J80" s="197">
        <f t="shared" si="16"/>
        <v>8.258823529411764</v>
      </c>
      <c r="K80" s="196">
        <f t="shared" si="1"/>
        <v>15526.588235294115</v>
      </c>
      <c r="L80" s="194">
        <f t="shared" si="2"/>
        <v>6964.589995851008</v>
      </c>
      <c r="N80" s="127">
        <f t="shared" si="3"/>
        <v>27426.002823529412</v>
      </c>
      <c r="O80" s="127">
        <f>Sheet2!$G$24*0.5*D80/20*$F$10/365+(Sheet2!$G$24*0.5*D80/20*$F$10/365)*($F$10/$F$14*$I$32*2)/$I$39</f>
        <v>7138.653675838769</v>
      </c>
      <c r="P80" s="127">
        <f>Sheet2!$F$27*(K80+L80+N80)</f>
        <v>9222.336334963908</v>
      </c>
      <c r="Q80" s="193">
        <f t="shared" si="4"/>
        <v>75931.90712030193</v>
      </c>
      <c r="R80" s="130">
        <f>($I$41+$F$10*Sheet2!$G$24/365)*J80/24</f>
        <v>18880.557741202163</v>
      </c>
      <c r="S80" s="198">
        <f t="shared" si="17"/>
        <v>7392.553887639032</v>
      </c>
      <c r="T80" s="201">
        <f t="shared" si="5"/>
        <v>1.1927310248124539</v>
      </c>
      <c r="U80" s="201">
        <f t="shared" si="6"/>
        <v>0.41735932535398773</v>
      </c>
      <c r="V80" s="204">
        <f t="shared" si="7"/>
        <v>7.0588235294117645</v>
      </c>
      <c r="W80" s="204">
        <f t="shared" si="8"/>
        <v>1.2</v>
      </c>
      <c r="X80" s="190">
        <f t="shared" si="18"/>
        <v>8.258823529411764</v>
      </c>
      <c r="Y80" s="210">
        <f t="shared" si="19"/>
        <v>1.7079999999999997</v>
      </c>
      <c r="Z80" s="10">
        <f t="shared" si="20"/>
        <v>0.05200313366119732</v>
      </c>
    </row>
    <row r="81" spans="1:26" ht="13.5" thickBot="1">
      <c r="A81" s="203">
        <f t="shared" si="0"/>
        <v>75.67941176470589</v>
      </c>
      <c r="B81" s="10">
        <f t="shared" si="9"/>
        <v>0.0519818922353493</v>
      </c>
      <c r="C81" s="11">
        <f t="shared" si="10"/>
        <v>114982.96776094964</v>
      </c>
      <c r="D81" s="188">
        <v>9</v>
      </c>
      <c r="E81" s="201">
        <f t="shared" si="11"/>
        <v>1.623602091068965</v>
      </c>
      <c r="F81" s="191">
        <f t="shared" si="12"/>
        <v>40.5</v>
      </c>
      <c r="G81">
        <f t="shared" si="13"/>
        <v>1.1664626682986534</v>
      </c>
      <c r="H81" s="130">
        <f t="shared" si="14"/>
        <v>63.529411764705884</v>
      </c>
      <c r="I81" s="130">
        <f t="shared" si="15"/>
        <v>12.15</v>
      </c>
      <c r="J81" s="197">
        <f t="shared" si="16"/>
        <v>8.408823529411764</v>
      </c>
      <c r="K81" s="196">
        <f t="shared" si="1"/>
        <v>17784.661764705885</v>
      </c>
      <c r="L81" s="194">
        <f t="shared" si="2"/>
        <v>7835.163745332385</v>
      </c>
      <c r="N81" s="127">
        <f t="shared" si="3"/>
        <v>30875.637176470595</v>
      </c>
      <c r="O81" s="127">
        <f>Sheet2!$G$24*0.5*D81/20*$F$10/365+(Sheet2!$G$24*0.5*D81/20*$F$10/365)*($F$10/$F$14*$I$32*2)/$I$39</f>
        <v>8030.985385318614</v>
      </c>
      <c r="P81" s="127">
        <f>Sheet2!$F$27*(K81+L81+N81)</f>
        <v>10437.691938647584</v>
      </c>
      <c r="Q81" s="193">
        <f t="shared" si="4"/>
        <v>87442.87078333259</v>
      </c>
      <c r="R81" s="130">
        <f>($I$41+$F$10*Sheet2!$G$24/365)*J81/24</f>
        <v>19223.47385402314</v>
      </c>
      <c r="S81" s="198">
        <f t="shared" si="17"/>
        <v>8316.62312359391</v>
      </c>
      <c r="T81" s="201">
        <f t="shared" si="5"/>
        <v>1.220079850708718</v>
      </c>
      <c r="U81" s="201">
        <f t="shared" si="6"/>
        <v>0.3888763693598704</v>
      </c>
      <c r="V81" s="204">
        <f t="shared" si="7"/>
        <v>7.0588235294117645</v>
      </c>
      <c r="W81" s="204">
        <f t="shared" si="8"/>
        <v>1.35</v>
      </c>
      <c r="X81" s="190">
        <f t="shared" si="18"/>
        <v>8.408823529411766</v>
      </c>
      <c r="Y81" s="210">
        <f t="shared" si="19"/>
        <v>1.7079999999999997</v>
      </c>
      <c r="Z81" s="10">
        <f t="shared" si="20"/>
        <v>0.0519818922353493</v>
      </c>
    </row>
    <row r="82" spans="1:26" ht="13.5" thickBot="1">
      <c r="A82" s="203">
        <f t="shared" si="0"/>
        <v>85.58823529411765</v>
      </c>
      <c r="B82" s="10">
        <f t="shared" si="9"/>
        <v>0.04813104901004194</v>
      </c>
      <c r="C82" s="11">
        <f t="shared" si="10"/>
        <v>128228.24028249193</v>
      </c>
      <c r="D82" s="187">
        <v>10</v>
      </c>
      <c r="E82" s="201">
        <f t="shared" si="11"/>
        <v>1.6295672202566682</v>
      </c>
      <c r="F82" s="191">
        <f t="shared" si="12"/>
        <v>50</v>
      </c>
      <c r="G82">
        <f t="shared" si="13"/>
        <v>1.1872705018359853</v>
      </c>
      <c r="H82" s="130">
        <f t="shared" si="14"/>
        <v>70.58823529411765</v>
      </c>
      <c r="I82" s="130">
        <f t="shared" si="15"/>
        <v>15</v>
      </c>
      <c r="J82" s="197">
        <f t="shared" si="16"/>
        <v>8.558823529411764</v>
      </c>
      <c r="K82" s="196">
        <f t="shared" si="1"/>
        <v>20113.235294117647</v>
      </c>
      <c r="L82" s="194">
        <f t="shared" si="2"/>
        <v>8705.73749481376</v>
      </c>
      <c r="N82" s="127">
        <f t="shared" si="3"/>
        <v>34330.02352941177</v>
      </c>
      <c r="O82" s="127">
        <f>Sheet2!$G$24*0.5*D82/20*$F$10/365+(Sheet2!$G$24*0.5*D82/20*$F$10/365)*($F$10/$F$14*$I$32*2)/$I$39</f>
        <v>8923.317094798462</v>
      </c>
      <c r="P82" s="127">
        <f>Sheet2!$F$27*(K82+L82+N82)</f>
        <v>11666.950556067522</v>
      </c>
      <c r="Q82" s="193">
        <f t="shared" si="4"/>
        <v>99421.157956099</v>
      </c>
      <c r="R82" s="130">
        <f>($I$41+$F$10*Sheet2!$G$24/365)*J82/24</f>
        <v>19566.389966844123</v>
      </c>
      <c r="S82" s="198">
        <f t="shared" si="17"/>
        <v>9240.69235954879</v>
      </c>
      <c r="T82" s="201">
        <f t="shared" si="5"/>
        <v>1.2478004552974262</v>
      </c>
      <c r="U82" s="201">
        <f t="shared" si="6"/>
        <v>0.3660900045645766</v>
      </c>
      <c r="V82" s="204">
        <f t="shared" si="7"/>
        <v>7.058823529411765</v>
      </c>
      <c r="W82" s="204">
        <f t="shared" si="8"/>
        <v>1.5</v>
      </c>
      <c r="X82" s="190">
        <f t="shared" si="18"/>
        <v>8.558823529411764</v>
      </c>
      <c r="Y82" s="210">
        <f t="shared" si="19"/>
        <v>1.7079999999999997</v>
      </c>
      <c r="Z82" s="10">
        <f t="shared" si="20"/>
        <v>0.04813104901004194</v>
      </c>
    </row>
    <row r="83" spans="1:26" ht="13.5" thickBot="1">
      <c r="A83" s="203">
        <f t="shared" si="0"/>
        <v>95.7970588235294</v>
      </c>
      <c r="B83" s="10">
        <f t="shared" si="9"/>
        <v>0.041519885311261016</v>
      </c>
      <c r="C83" s="11">
        <f t="shared" si="10"/>
        <v>141946.40168182444</v>
      </c>
      <c r="D83" s="187">
        <v>11</v>
      </c>
      <c r="E83" s="201">
        <f t="shared" si="11"/>
        <v>1.6399110800362293</v>
      </c>
      <c r="F83" s="191">
        <f t="shared" si="12"/>
        <v>60.5</v>
      </c>
      <c r="G83">
        <f t="shared" si="13"/>
        <v>1.208078335373317</v>
      </c>
      <c r="H83" s="130">
        <f t="shared" si="14"/>
        <v>77.6470588235294</v>
      </c>
      <c r="I83" s="130">
        <f t="shared" si="15"/>
        <v>18.15</v>
      </c>
      <c r="J83" s="197">
        <f t="shared" si="16"/>
        <v>8.708823529411765</v>
      </c>
      <c r="K83" s="196">
        <f t="shared" si="1"/>
        <v>22512.30882352941</v>
      </c>
      <c r="L83" s="194">
        <f t="shared" si="2"/>
        <v>9576.311244295137</v>
      </c>
      <c r="N83" s="127">
        <f t="shared" si="3"/>
        <v>37789.16188235294</v>
      </c>
      <c r="O83" s="127">
        <f>Sheet2!$G$24*0.5*D83/20*$F$10/365+(Sheet2!$G$24*0.5*D83/20*$F$10/365)*($F$10/$F$14*$I$32*2)/$I$39</f>
        <v>9815.64880427831</v>
      </c>
      <c r="P83" s="127">
        <f>Sheet2!$F$27*(K83+L83+N83)</f>
        <v>12910.112187223722</v>
      </c>
      <c r="Q83" s="193">
        <f t="shared" si="4"/>
        <v>111872.33400665568</v>
      </c>
      <c r="R83" s="130">
        <f>($I$41+$F$10*Sheet2!$G$24/365)*J83/24</f>
        <v>19909.3060796651</v>
      </c>
      <c r="S83" s="198">
        <f t="shared" si="17"/>
        <v>10164.761595503669</v>
      </c>
      <c r="T83" s="201">
        <f t="shared" si="5"/>
        <v>1.2758546872085317</v>
      </c>
      <c r="U83" s="201">
        <f t="shared" si="6"/>
        <v>0.3474466151866089</v>
      </c>
      <c r="V83" s="204">
        <f t="shared" si="7"/>
        <v>7.0588235294117645</v>
      </c>
      <c r="W83" s="204">
        <f t="shared" si="8"/>
        <v>1.65</v>
      </c>
      <c r="X83" s="190">
        <f t="shared" si="18"/>
        <v>8.708823529411763</v>
      </c>
      <c r="Y83" s="210">
        <f t="shared" si="19"/>
        <v>1.7079999999999997</v>
      </c>
      <c r="Z83" s="10">
        <f t="shared" si="20"/>
        <v>0.041519885311261016</v>
      </c>
    </row>
    <row r="84" spans="1:26" ht="13.5" thickBot="1">
      <c r="A84" s="203">
        <f t="shared" si="0"/>
        <v>106.30588235294118</v>
      </c>
      <c r="B84" s="10">
        <f t="shared" si="9"/>
        <v>0.032899214841225065</v>
      </c>
      <c r="C84" s="11">
        <f t="shared" si="10"/>
        <v>156143.0173270018</v>
      </c>
      <c r="D84" s="187">
        <v>12</v>
      </c>
      <c r="E84" s="201">
        <f t="shared" si="11"/>
        <v>1.6535979265533178</v>
      </c>
      <c r="F84" s="191">
        <f t="shared" si="12"/>
        <v>72</v>
      </c>
      <c r="G84">
        <f t="shared" si="13"/>
        <v>1.2288861689106487</v>
      </c>
      <c r="H84" s="130">
        <f t="shared" si="14"/>
        <v>84.70588235294117</v>
      </c>
      <c r="I84" s="130">
        <f t="shared" si="15"/>
        <v>21.6</v>
      </c>
      <c r="J84" s="197">
        <f t="shared" si="16"/>
        <v>8.858823529411765</v>
      </c>
      <c r="K84" s="196">
        <f t="shared" si="1"/>
        <v>24981.88235294118</v>
      </c>
      <c r="L84" s="194">
        <f t="shared" si="2"/>
        <v>10446.884993776512</v>
      </c>
      <c r="N84" s="127">
        <f t="shared" si="3"/>
        <v>41253.05223529412</v>
      </c>
      <c r="O84" s="127">
        <f>Sheet2!$G$24*0.5*D84/20*$F$10/365+(Sheet2!$G$24*0.5*D84/20*$F$10/365)*($F$10/$F$14*$I$32*2)/$I$39</f>
        <v>10707.980513758152</v>
      </c>
      <c r="P84" s="127">
        <f>Sheet2!$F$27*(K84+L84+N84)</f>
        <v>14167.176832116193</v>
      </c>
      <c r="Q84" s="193">
        <f t="shared" si="4"/>
        <v>124801.96430305718</v>
      </c>
      <c r="R84" s="130">
        <f>($I$41+$F$10*Sheet2!$G$24/365)*J84/24</f>
        <v>20252.222192486082</v>
      </c>
      <c r="S84" s="198">
        <f t="shared" si="17"/>
        <v>11088.830831458548</v>
      </c>
      <c r="T84" s="201">
        <f t="shared" si="5"/>
        <v>1.3042171121953363</v>
      </c>
      <c r="U84" s="201">
        <f t="shared" si="6"/>
        <v>0.3319104573716358</v>
      </c>
      <c r="V84" s="204">
        <f t="shared" si="7"/>
        <v>7.0588235294117645</v>
      </c>
      <c r="W84" s="204">
        <f t="shared" si="8"/>
        <v>1.8</v>
      </c>
      <c r="X84" s="190">
        <f t="shared" si="18"/>
        <v>8.858823529411765</v>
      </c>
      <c r="Y84" s="210">
        <f t="shared" si="19"/>
        <v>1.7079999999999997</v>
      </c>
      <c r="Z84" s="10">
        <f t="shared" si="20"/>
        <v>0.032899214841225065</v>
      </c>
    </row>
    <row r="85" spans="1:26" ht="13.5" thickBot="1">
      <c r="A85" s="203">
        <f t="shared" si="0"/>
        <v>117.11470588235295</v>
      </c>
      <c r="B85" s="10">
        <f t="shared" si="9"/>
        <v>0.02280917984679074</v>
      </c>
      <c r="C85" s="11">
        <f t="shared" si="10"/>
        <v>170823.65258607842</v>
      </c>
      <c r="D85" s="188">
        <v>13</v>
      </c>
      <c r="E85" s="201">
        <f t="shared" si="11"/>
        <v>1.6699107063703178</v>
      </c>
      <c r="F85" s="191">
        <f t="shared" si="12"/>
        <v>84.5</v>
      </c>
      <c r="G85">
        <f t="shared" si="13"/>
        <v>1.2496940024479803</v>
      </c>
      <c r="H85" s="130">
        <f t="shared" si="14"/>
        <v>91.76470588235294</v>
      </c>
      <c r="I85" s="130">
        <f t="shared" si="15"/>
        <v>25.35</v>
      </c>
      <c r="J85" s="197">
        <f t="shared" si="16"/>
        <v>9.008823529411764</v>
      </c>
      <c r="K85" s="196">
        <f t="shared" si="1"/>
        <v>27521.955882352944</v>
      </c>
      <c r="L85" s="194">
        <f t="shared" si="2"/>
        <v>11317.458743257888</v>
      </c>
      <c r="N85" s="127">
        <f t="shared" si="3"/>
        <v>44721.69458823529</v>
      </c>
      <c r="O85" s="127">
        <f>Sheet2!$G$24*0.5*D85/20*$F$10/365+(Sheet2!$G$24*0.5*D85/20*$F$10/365)*($F$10/$F$14*$I$32*2)/$I$39</f>
        <v>11600.312223237997</v>
      </c>
      <c r="P85" s="127">
        <f>Sheet2!$F$27*(K85+L85+N85)</f>
        <v>15438.14449074492</v>
      </c>
      <c r="Q85" s="193">
        <f t="shared" si="4"/>
        <v>138215.61421335794</v>
      </c>
      <c r="R85" s="130">
        <f>($I$41+$F$10*Sheet2!$G$24/365)*J85/24</f>
        <v>20595.138305307057</v>
      </c>
      <c r="S85" s="198">
        <f t="shared" si="17"/>
        <v>12012.900067413426</v>
      </c>
      <c r="T85" s="201">
        <f t="shared" si="5"/>
        <v>1.3328701219332024</v>
      </c>
      <c r="U85" s="201">
        <f t="shared" si="6"/>
        <v>0.3187644776820432</v>
      </c>
      <c r="V85" s="204">
        <f t="shared" si="7"/>
        <v>7.0588235294117645</v>
      </c>
      <c r="W85" s="204">
        <f t="shared" si="8"/>
        <v>1.9500000000000002</v>
      </c>
      <c r="X85" s="190">
        <f t="shared" si="18"/>
        <v>9.008823529411766</v>
      </c>
      <c r="Y85" s="210">
        <f t="shared" si="19"/>
        <v>1.7079999999999997</v>
      </c>
      <c r="Z85" s="10">
        <f t="shared" si="20"/>
        <v>0.02280917984679074</v>
      </c>
    </row>
    <row r="86" spans="1:26" ht="13.5" thickBot="1">
      <c r="A86" s="203">
        <f t="shared" si="0"/>
        <v>128.2235294117647</v>
      </c>
      <c r="B86" s="10">
        <f t="shared" si="9"/>
        <v>0.011646228663159038</v>
      </c>
      <c r="C86" s="11">
        <f t="shared" si="10"/>
        <v>185993.87282710895</v>
      </c>
      <c r="D86" s="187">
        <v>14</v>
      </c>
      <c r="E86" s="201">
        <f t="shared" si="11"/>
        <v>1.6883372384603639</v>
      </c>
      <c r="F86" s="191">
        <f t="shared" si="12"/>
        <v>98</v>
      </c>
      <c r="G86">
        <f t="shared" si="13"/>
        <v>1.270501835985312</v>
      </c>
      <c r="H86" s="130">
        <f t="shared" si="14"/>
        <v>98.8235294117647</v>
      </c>
      <c r="I86" s="130">
        <f t="shared" si="15"/>
        <v>29.4</v>
      </c>
      <c r="J86" s="197">
        <f t="shared" si="16"/>
        <v>9.158823529411764</v>
      </c>
      <c r="K86" s="196">
        <f t="shared" si="1"/>
        <v>30132.529411764706</v>
      </c>
      <c r="L86" s="194">
        <f t="shared" si="2"/>
        <v>12188.032492739265</v>
      </c>
      <c r="N86" s="127">
        <f t="shared" si="3"/>
        <v>48195.088941176466</v>
      </c>
      <c r="O86" s="127">
        <f>Sheet2!$G$24*0.5*D86/20*$F$10/365+(Sheet2!$G$24*0.5*D86/20*$F$10/365)*($F$10/$F$14*$I$32*2)/$I$39</f>
        <v>12492.643932717843</v>
      </c>
      <c r="P86" s="127">
        <f>Sheet2!$F$27*(K86+L86+N86)</f>
        <v>16723.015163109914</v>
      </c>
      <c r="Q86" s="193">
        <f t="shared" si="4"/>
        <v>152118.8491056126</v>
      </c>
      <c r="R86" s="130">
        <f>($I$41+$F$10*Sheet2!$G$24/365)*J86/24</f>
        <v>20938.05441812804</v>
      </c>
      <c r="S86" s="198">
        <f t="shared" si="17"/>
        <v>12936.969303368305</v>
      </c>
      <c r="T86" s="201">
        <f t="shared" si="5"/>
        <v>1.3618011390473905</v>
      </c>
      <c r="U86" s="201">
        <f t="shared" si="6"/>
        <v>0.30749649509096383</v>
      </c>
      <c r="V86" s="204">
        <f t="shared" si="7"/>
        <v>7.058823529411764</v>
      </c>
      <c r="W86" s="204">
        <f t="shared" si="8"/>
        <v>2.1</v>
      </c>
      <c r="X86" s="190">
        <f t="shared" si="18"/>
        <v>9.158823529411764</v>
      </c>
      <c r="Y86" s="210">
        <f t="shared" si="19"/>
        <v>1.7079999999999997</v>
      </c>
      <c r="Z86" s="10">
        <f t="shared" si="20"/>
        <v>0.011646228663159038</v>
      </c>
    </row>
    <row r="87" spans="1:26" ht="13.5" thickBot="1">
      <c r="A87" s="203">
        <f t="shared" si="0"/>
        <v>139.63235294117646</v>
      </c>
      <c r="B87" s="10">
        <f t="shared" si="9"/>
        <v>-0.0002937798294970168</v>
      </c>
      <c r="C87" s="11">
        <f t="shared" si="10"/>
        <v>201659.24341814785</v>
      </c>
      <c r="D87" s="187">
        <v>15</v>
      </c>
      <c r="E87" s="201">
        <f t="shared" si="11"/>
        <v>1.7085019234037526</v>
      </c>
      <c r="F87" s="191">
        <f t="shared" si="12"/>
        <v>112.5</v>
      </c>
      <c r="G87">
        <f t="shared" si="13"/>
        <v>1.2913096695226438</v>
      </c>
      <c r="H87" s="130">
        <f t="shared" si="14"/>
        <v>105.88235294117646</v>
      </c>
      <c r="I87" s="130">
        <f t="shared" si="15"/>
        <v>33.75</v>
      </c>
      <c r="J87" s="197">
        <f t="shared" si="16"/>
        <v>9.308823529411764</v>
      </c>
      <c r="K87" s="196">
        <f t="shared" si="1"/>
        <v>32813.60294117647</v>
      </c>
      <c r="L87" s="194">
        <f t="shared" si="2"/>
        <v>13058.606242220641</v>
      </c>
      <c r="N87" s="127">
        <f t="shared" si="3"/>
        <v>51673.23529411764</v>
      </c>
      <c r="O87" s="127">
        <f>Sheet2!$G$24*0.5*D87/20*$F$10/365+(Sheet2!$G$24*0.5*D87/20*$F$10/365)*($F$10/$F$14*$I$32*2)/$I$39</f>
        <v>13384.975642197689</v>
      </c>
      <c r="P87" s="127">
        <f>Sheet2!$F$27*(K87+L87+N87)</f>
        <v>18021.78884921117</v>
      </c>
      <c r="Q87" s="193">
        <f t="shared" si="4"/>
        <v>166517.23434787564</v>
      </c>
      <c r="R87" s="130">
        <f>($I$41+$F$10*Sheet2!$G$24/365)*J87/24</f>
        <v>21280.97053094902</v>
      </c>
      <c r="S87" s="198">
        <f t="shared" si="17"/>
        <v>13861.038539323185</v>
      </c>
      <c r="T87" s="201">
        <f t="shared" si="5"/>
        <v>1.3910009401297563</v>
      </c>
      <c r="U87" s="201">
        <f t="shared" si="6"/>
        <v>0.2977309101786951</v>
      </c>
      <c r="V87" s="204">
        <f t="shared" si="7"/>
        <v>7.0588235294117645</v>
      </c>
      <c r="W87" s="204">
        <f t="shared" si="8"/>
        <v>2.25</v>
      </c>
      <c r="X87" s="190">
        <f t="shared" si="18"/>
        <v>9.308823529411764</v>
      </c>
      <c r="Y87" s="210">
        <f t="shared" si="19"/>
        <v>1.7079999999999997</v>
      </c>
      <c r="Z87" s="10">
        <f t="shared" si="20"/>
        <v>-0.0002937798294970168</v>
      </c>
    </row>
    <row r="88" spans="1:26" ht="13.5" thickBot="1">
      <c r="A88" s="203">
        <f t="shared" si="0"/>
        <v>151.34117647058824</v>
      </c>
      <c r="B88" s="10">
        <f t="shared" si="9"/>
        <v>-0.012786987311059697</v>
      </c>
      <c r="C88" s="11">
        <f t="shared" si="10"/>
        <v>217825.32972724971</v>
      </c>
      <c r="D88" s="187">
        <v>16</v>
      </c>
      <c r="E88" s="201">
        <f t="shared" si="11"/>
        <v>1.7301230616357073</v>
      </c>
      <c r="F88" s="191">
        <f t="shared" si="12"/>
        <v>128</v>
      </c>
      <c r="G88">
        <f t="shared" si="13"/>
        <v>1.3121175030599754</v>
      </c>
      <c r="H88" s="130">
        <f t="shared" si="14"/>
        <v>112.94117647058823</v>
      </c>
      <c r="I88" s="130">
        <f t="shared" si="15"/>
        <v>38.4</v>
      </c>
      <c r="J88" s="197">
        <f t="shared" si="16"/>
        <v>9.458823529411765</v>
      </c>
      <c r="K88" s="196">
        <f t="shared" si="1"/>
        <v>35565.17647058823</v>
      </c>
      <c r="L88" s="194">
        <f t="shared" si="2"/>
        <v>13929.179991702016</v>
      </c>
      <c r="N88" s="127">
        <f t="shared" si="3"/>
        <v>55156.13364705883</v>
      </c>
      <c r="O88" s="127">
        <f>Sheet2!$G$24*0.5*D88/20*$F$10/365+(Sheet2!$G$24*0.5*D88/20*$F$10/365)*($F$10/$F$14*$I$32*2)/$I$39</f>
        <v>14277.307351677538</v>
      </c>
      <c r="P88" s="127">
        <f>Sheet2!$F$27*(K88+L88+N88)</f>
        <v>19334.465549048695</v>
      </c>
      <c r="Q88" s="193">
        <f t="shared" si="4"/>
        <v>181416.33530820164</v>
      </c>
      <c r="R88" s="130">
        <f>($I$41+$F$10*Sheet2!$G$24/365)*J88/24</f>
        <v>21623.88664377</v>
      </c>
      <c r="S88" s="198">
        <f t="shared" si="17"/>
        <v>14785.107775278064</v>
      </c>
      <c r="T88" s="201">
        <f t="shared" si="5"/>
        <v>1.4204626076241933</v>
      </c>
      <c r="U88" s="201">
        <f t="shared" si="6"/>
        <v>0.2891860233804599</v>
      </c>
      <c r="V88" s="204">
        <f t="shared" si="7"/>
        <v>7.0588235294117645</v>
      </c>
      <c r="W88" s="204">
        <f t="shared" si="8"/>
        <v>2.4</v>
      </c>
      <c r="X88" s="190">
        <f t="shared" si="18"/>
        <v>9.458823529411765</v>
      </c>
      <c r="Y88" s="210">
        <f t="shared" si="19"/>
        <v>1.7079999999999997</v>
      </c>
      <c r="Z88" s="10">
        <f t="shared" si="20"/>
        <v>-0.012786987311059697</v>
      </c>
    </row>
    <row r="89" spans="1:26" ht="13.5" thickBot="1">
      <c r="A89" s="203">
        <f t="shared" si="0"/>
        <v>163.35</v>
      </c>
      <c r="B89" s="10">
        <f t="shared" si="9"/>
        <v>-0.02566207342891802</v>
      </c>
      <c r="C89" s="11">
        <f t="shared" si="10"/>
        <v>234497.69712246893</v>
      </c>
      <c r="D89" s="188">
        <v>17</v>
      </c>
      <c r="E89" s="201">
        <f t="shared" si="11"/>
        <v>1.752985235841986</v>
      </c>
      <c r="F89" s="191">
        <f t="shared" si="12"/>
        <v>144.5</v>
      </c>
      <c r="G89">
        <f t="shared" si="13"/>
        <v>1.3329253365973073</v>
      </c>
      <c r="H89" s="130">
        <f t="shared" si="14"/>
        <v>120</v>
      </c>
      <c r="I89" s="130">
        <f t="shared" si="15"/>
        <v>43.35</v>
      </c>
      <c r="J89" s="197">
        <f t="shared" si="16"/>
        <v>9.608823529411765</v>
      </c>
      <c r="K89" s="196">
        <f t="shared" si="1"/>
        <v>38387.25</v>
      </c>
      <c r="L89" s="194">
        <f t="shared" si="2"/>
        <v>14799.753741183395</v>
      </c>
      <c r="N89" s="127">
        <f t="shared" si="3"/>
        <v>58643.784</v>
      </c>
      <c r="O89" s="127">
        <f>Sheet2!$G$24*0.5*D89/20*$F$10/365+(Sheet2!$G$24*0.5*D89/20*$F$10/365)*($F$10/$F$14*$I$32*2)/$I$39</f>
        <v>15169.639061157384</v>
      </c>
      <c r="P89" s="127">
        <f>Sheet2!$F$27*(K89+L89+N89)</f>
        <v>20661.04526262248</v>
      </c>
      <c r="Q89" s="193">
        <f t="shared" si="4"/>
        <v>196821.71735464502</v>
      </c>
      <c r="R89" s="130">
        <f>($I$41+$F$10*Sheet2!$G$24/365)*J89/24</f>
        <v>21966.802756590983</v>
      </c>
      <c r="S89" s="198">
        <f t="shared" si="17"/>
        <v>15709.177011232943</v>
      </c>
      <c r="T89" s="201">
        <f t="shared" si="5"/>
        <v>1.450180851634854</v>
      </c>
      <c r="U89" s="201">
        <f t="shared" si="6"/>
        <v>0.2816464173820171</v>
      </c>
      <c r="V89" s="204">
        <f t="shared" si="7"/>
        <v>7.0588235294117645</v>
      </c>
      <c r="W89" s="204">
        <f t="shared" si="8"/>
        <v>2.5500000000000003</v>
      </c>
      <c r="X89" s="190">
        <f t="shared" si="18"/>
        <v>9.608823529411765</v>
      </c>
      <c r="Y89" s="210">
        <f t="shared" si="19"/>
        <v>1.7079999999999997</v>
      </c>
      <c r="Z89" s="10">
        <f t="shared" si="20"/>
        <v>-0.02566207342891802</v>
      </c>
    </row>
    <row r="90" spans="1:26" ht="13.5" thickBot="1">
      <c r="A90" s="203">
        <f t="shared" si="0"/>
        <v>175.65882352941176</v>
      </c>
      <c r="B90" s="10">
        <f t="shared" si="9"/>
        <v>-0.038786700777043964</v>
      </c>
      <c r="C90" s="11">
        <f t="shared" si="10"/>
        <v>251681.91097186014</v>
      </c>
      <c r="D90" s="188">
        <v>18</v>
      </c>
      <c r="E90" s="201">
        <f t="shared" si="11"/>
        <v>1.7769208992226235</v>
      </c>
      <c r="F90" s="191">
        <f t="shared" si="12"/>
        <v>162</v>
      </c>
      <c r="G90">
        <f t="shared" si="13"/>
        <v>1.3537331701346387</v>
      </c>
      <c r="H90" s="130">
        <f t="shared" si="14"/>
        <v>127.05882352941177</v>
      </c>
      <c r="I90" s="130">
        <f t="shared" si="15"/>
        <v>48.6</v>
      </c>
      <c r="J90" s="197">
        <f t="shared" si="16"/>
        <v>9.758823529411764</v>
      </c>
      <c r="K90" s="196">
        <f t="shared" si="1"/>
        <v>41279.82352941176</v>
      </c>
      <c r="L90" s="194">
        <f t="shared" si="2"/>
        <v>15670.32749066477</v>
      </c>
      <c r="N90" s="127">
        <f t="shared" si="3"/>
        <v>62136.18635294118</v>
      </c>
      <c r="O90" s="127">
        <f>Sheet2!$G$24*0.5*D90/20*$F$10/365+(Sheet2!$G$24*0.5*D90/20*$F$10/365)*($F$10/$F$14*$I$32*2)/$I$39</f>
        <v>16061.970770637228</v>
      </c>
      <c r="P90" s="127">
        <f>Sheet2!$F$27*(K90+L90+N90)</f>
        <v>22001.52798993253</v>
      </c>
      <c r="Q90" s="193">
        <f t="shared" si="4"/>
        <v>212738.9458552604</v>
      </c>
      <c r="R90" s="130">
        <f>($I$41+$F$10*Sheet2!$G$24/365)*J90/24</f>
        <v>22309.718869411954</v>
      </c>
      <c r="S90" s="198">
        <f t="shared" si="17"/>
        <v>16633.24624718782</v>
      </c>
      <c r="T90" s="201">
        <f t="shared" si="5"/>
        <v>1.480151557798302</v>
      </c>
      <c r="U90" s="201">
        <f t="shared" si="6"/>
        <v>0.27494454538340124</v>
      </c>
      <c r="V90" s="204">
        <f t="shared" si="7"/>
        <v>7.0588235294117645</v>
      </c>
      <c r="W90" s="204">
        <f t="shared" si="8"/>
        <v>2.7</v>
      </c>
      <c r="X90" s="190">
        <f t="shared" si="18"/>
        <v>9.758823529411764</v>
      </c>
      <c r="Y90" s="210">
        <f t="shared" si="19"/>
        <v>1.7079999999999997</v>
      </c>
      <c r="Z90" s="10">
        <f t="shared" si="20"/>
        <v>-0.038786700777043964</v>
      </c>
    </row>
    <row r="91" spans="1:26" ht="13.5" thickBot="1">
      <c r="A91" s="203">
        <f t="shared" si="0"/>
        <v>188.26764705882354</v>
      </c>
      <c r="B91" s="10">
        <f t="shared" si="9"/>
        <v>-0.052057883039963594</v>
      </c>
      <c r="C91" s="11">
        <f t="shared" si="10"/>
        <v>269383.5366434779</v>
      </c>
      <c r="D91" s="187">
        <v>19</v>
      </c>
      <c r="E91" s="201">
        <f t="shared" si="11"/>
        <v>1.8017977779881744</v>
      </c>
      <c r="F91" s="191">
        <f t="shared" si="12"/>
        <v>180.5</v>
      </c>
      <c r="G91">
        <f t="shared" si="13"/>
        <v>1.3745410036719705</v>
      </c>
      <c r="H91" s="130">
        <f t="shared" si="14"/>
        <v>134.11764705882354</v>
      </c>
      <c r="I91" s="130">
        <f t="shared" si="15"/>
        <v>54.15</v>
      </c>
      <c r="J91" s="197">
        <f t="shared" si="16"/>
        <v>9.908823529411764</v>
      </c>
      <c r="K91" s="196">
        <f t="shared" si="1"/>
        <v>44242.89705882353</v>
      </c>
      <c r="L91" s="194">
        <f t="shared" si="2"/>
        <v>16540.901240146144</v>
      </c>
      <c r="N91" s="127">
        <f t="shared" si="3"/>
        <v>65633.34070588237</v>
      </c>
      <c r="O91" s="127">
        <f>Sheet2!$G$24*0.5*D91/20*$F$10/365+(Sheet2!$G$24*0.5*D91/20*$F$10/365)*($F$10/$F$14*$I$32*2)/$I$39</f>
        <v>16954.302480117072</v>
      </c>
      <c r="P91" s="127">
        <f>Sheet2!$F$27*(K91+L91+N91)</f>
        <v>23355.913730978842</v>
      </c>
      <c r="Q91" s="193">
        <f t="shared" si="4"/>
        <v>229173.58617810227</v>
      </c>
      <c r="R91" s="130">
        <f>($I$41+$F$10*Sheet2!$G$24/365)*J91/24</f>
        <v>22652.634982232936</v>
      </c>
      <c r="S91" s="198">
        <f t="shared" si="17"/>
        <v>17557.315483142702</v>
      </c>
      <c r="T91" s="201">
        <f t="shared" si="5"/>
        <v>1.5103714779328774</v>
      </c>
      <c r="U91" s="201">
        <f t="shared" si="6"/>
        <v>0.268948133595166</v>
      </c>
      <c r="V91" s="204">
        <f t="shared" si="7"/>
        <v>7.058823529411765</v>
      </c>
      <c r="W91" s="204">
        <f t="shared" si="8"/>
        <v>2.85</v>
      </c>
      <c r="X91" s="190">
        <f t="shared" si="18"/>
        <v>9.908823529411766</v>
      </c>
      <c r="Y91" s="210">
        <f t="shared" si="19"/>
        <v>1.7079999999999997</v>
      </c>
      <c r="Z91" s="10">
        <f t="shared" si="20"/>
        <v>-0.052057883039963594</v>
      </c>
    </row>
    <row r="92" spans="1:26" ht="13.5" thickBot="1">
      <c r="A92" s="203">
        <f t="shared" si="0"/>
        <v>201.1764705882353</v>
      </c>
      <c r="B92" s="10">
        <f t="shared" si="9"/>
        <v>-0.06539501815811813</v>
      </c>
      <c r="C92" s="11">
        <f t="shared" si="10"/>
        <v>287608.13950537663</v>
      </c>
      <c r="D92" s="187">
        <v>20</v>
      </c>
      <c r="E92" s="201">
        <f t="shared" si="11"/>
        <v>1.8275100531070807</v>
      </c>
      <c r="F92" s="191">
        <f t="shared" si="12"/>
        <v>200</v>
      </c>
      <c r="G92">
        <f t="shared" si="13"/>
        <v>1.3953488372093024</v>
      </c>
      <c r="H92" s="130">
        <f t="shared" si="14"/>
        <v>141.1764705882353</v>
      </c>
      <c r="I92" s="130">
        <f t="shared" si="15"/>
        <v>60</v>
      </c>
      <c r="J92" s="197">
        <f t="shared" si="16"/>
        <v>10.058823529411764</v>
      </c>
      <c r="K92" s="196">
        <f t="shared" si="1"/>
        <v>47276.470588235294</v>
      </c>
      <c r="L92" s="194">
        <f t="shared" si="2"/>
        <v>17411.47498962752</v>
      </c>
      <c r="N92" s="127">
        <f t="shared" si="3"/>
        <v>69135.24705882353</v>
      </c>
      <c r="O92" s="127">
        <f>Sheet2!$G$24*0.5*D92/20*$F$10/365+(Sheet2!$G$24*0.5*D92/20*$F$10/365)*($F$10/$F$14*$I$32*2)/$I$39</f>
        <v>17846.634189596924</v>
      </c>
      <c r="P92" s="127">
        <f>Sheet2!$F$27*(K92+L92+N92)</f>
        <v>24724.202485761416</v>
      </c>
      <c r="Q92" s="193">
        <f t="shared" si="4"/>
        <v>246131.20369122512</v>
      </c>
      <c r="R92" s="130">
        <f>($I$41+$F$10*Sheet2!$G$24/365)*J92/24</f>
        <v>22995.551095053917</v>
      </c>
      <c r="S92" s="198">
        <f t="shared" si="17"/>
        <v>18481.38471909758</v>
      </c>
      <c r="T92" s="201">
        <f t="shared" si="5"/>
        <v>1.5408380134932516</v>
      </c>
      <c r="U92" s="201">
        <f t="shared" si="6"/>
        <v>0.2635513629857543</v>
      </c>
      <c r="V92" s="204">
        <f t="shared" si="7"/>
        <v>7.058823529411765</v>
      </c>
      <c r="W92" s="204">
        <f t="shared" si="8"/>
        <v>3</v>
      </c>
      <c r="X92" s="190">
        <f t="shared" si="18"/>
        <v>10.058823529411764</v>
      </c>
      <c r="Y92" s="210">
        <f t="shared" si="19"/>
        <v>1.7079999999999997</v>
      </c>
      <c r="Z92" s="10">
        <f t="shared" si="20"/>
        <v>-0.06539501815811813</v>
      </c>
    </row>
    <row r="93" spans="1:26" ht="13.5" thickBot="1">
      <c r="A93" s="203">
        <f t="shared" si="0"/>
        <v>214.38529411764705</v>
      </c>
      <c r="B93" s="10">
        <f t="shared" si="9"/>
        <v>-0.07873476875992344</v>
      </c>
      <c r="C93" s="11">
        <f t="shared" si="10"/>
        <v>306361.28492561093</v>
      </c>
      <c r="D93" s="188">
        <v>21</v>
      </c>
      <c r="E93" s="201">
        <f t="shared" si="11"/>
        <v>1.8539720615537965</v>
      </c>
      <c r="F93" s="191">
        <f t="shared" si="12"/>
        <v>220.5</v>
      </c>
      <c r="G93">
        <f t="shared" si="13"/>
        <v>1.416156670746634</v>
      </c>
      <c r="H93" s="130">
        <f t="shared" si="14"/>
        <v>148.23529411764704</v>
      </c>
      <c r="I93" s="130">
        <f t="shared" si="15"/>
        <v>66.15</v>
      </c>
      <c r="J93" s="197">
        <f t="shared" si="16"/>
        <v>10.208823529411765</v>
      </c>
      <c r="K93" s="196">
        <f t="shared" si="1"/>
        <v>50380.54411764706</v>
      </c>
      <c r="L93" s="194">
        <f t="shared" si="2"/>
        <v>18282.048739108897</v>
      </c>
      <c r="N93" s="127">
        <f t="shared" si="3"/>
        <v>72641.9054117647</v>
      </c>
      <c r="O93" s="127">
        <f>Sheet2!$G$24*0.5*D93/20*$F$10/365+(Sheet2!$G$24*0.5*D93/20*$F$10/365)*($F$10/$F$14*$I$32*2)/$I$39</f>
        <v>18738.965899076768</v>
      </c>
      <c r="P93" s="127">
        <f>Sheet2!$F$27*(K93+L93+N93)</f>
        <v>26106.394254280258</v>
      </c>
      <c r="Q93" s="193">
        <f t="shared" si="4"/>
        <v>263617.3637626836</v>
      </c>
      <c r="R93" s="130">
        <f>($I$41+$F$10*Sheet2!$G$24/365)*J93/24</f>
        <v>23338.4672078749</v>
      </c>
      <c r="S93" s="198">
        <f t="shared" si="17"/>
        <v>19405.453955052457</v>
      </c>
      <c r="T93" s="201">
        <f t="shared" si="5"/>
        <v>1.5715490608951113</v>
      </c>
      <c r="U93" s="201">
        <f t="shared" si="6"/>
        <v>0.25866857052961995</v>
      </c>
      <c r="V93" s="204">
        <f t="shared" si="7"/>
        <v>7.058823529411764</v>
      </c>
      <c r="W93" s="204">
        <f t="shared" si="8"/>
        <v>3.1500000000000004</v>
      </c>
      <c r="X93" s="190">
        <f t="shared" si="18"/>
        <v>10.208823529411765</v>
      </c>
      <c r="Y93" s="210">
        <f t="shared" si="19"/>
        <v>1.7079999999999997</v>
      </c>
      <c r="Z93" s="10">
        <f t="shared" si="20"/>
        <v>-0.07873476875992344</v>
      </c>
    </row>
    <row r="94" spans="1:26" ht="13.5" thickBot="1">
      <c r="A94" s="203">
        <f t="shared" si="0"/>
        <v>227.8941176470588</v>
      </c>
      <c r="B94" s="10">
        <f t="shared" si="9"/>
        <v>-0.09202724640263037</v>
      </c>
      <c r="C94" s="11">
        <f t="shared" si="10"/>
        <v>325648.53827223537</v>
      </c>
      <c r="D94" s="189">
        <v>22</v>
      </c>
      <c r="E94" s="201">
        <f t="shared" si="11"/>
        <v>1.8811137153983293</v>
      </c>
      <c r="F94" s="191">
        <f t="shared" si="12"/>
        <v>242</v>
      </c>
      <c r="G94">
        <f t="shared" si="13"/>
        <v>1.4369645042839658</v>
      </c>
      <c r="H94" s="130">
        <f t="shared" si="14"/>
        <v>155.2941176470588</v>
      </c>
      <c r="I94" s="130">
        <f t="shared" si="15"/>
        <v>72.6</v>
      </c>
      <c r="J94" s="197">
        <f t="shared" si="16"/>
        <v>10.358823529411765</v>
      </c>
      <c r="K94" s="196">
        <f t="shared" si="1"/>
        <v>53555.117647058825</v>
      </c>
      <c r="L94" s="194">
        <f t="shared" si="2"/>
        <v>19152.622488590274</v>
      </c>
      <c r="N94" s="127">
        <f t="shared" si="3"/>
        <v>76153.31576470587</v>
      </c>
      <c r="O94" s="127">
        <f>Sheet2!$G$24*0.5*D94/20*$F$10/365+(Sheet2!$G$24*0.5*D94/20*$F$10/365)*($F$10/$F$14*$I$32*2)/$I$39</f>
        <v>19631.29760855662</v>
      </c>
      <c r="P94" s="127">
        <f>Sheet2!$F$27*(K94+L94+N94)</f>
        <v>27502.489036535364</v>
      </c>
      <c r="Q94" s="193">
        <f t="shared" si="4"/>
        <v>281637.63176053215</v>
      </c>
      <c r="R94" s="130">
        <f>($I$41+$F$10*Sheet2!$G$24/365)*J94/24</f>
        <v>23681.383320695877</v>
      </c>
      <c r="S94" s="198">
        <f t="shared" si="17"/>
        <v>20329.523191007338</v>
      </c>
      <c r="T94" s="201">
        <f t="shared" si="5"/>
        <v>1.6025028990240187</v>
      </c>
      <c r="U94" s="201">
        <f t="shared" si="6"/>
        <v>0.2542296682967704</v>
      </c>
      <c r="V94" s="204">
        <f t="shared" si="7"/>
        <v>7.0588235294117645</v>
      </c>
      <c r="W94" s="204">
        <f t="shared" si="8"/>
        <v>3.3</v>
      </c>
      <c r="X94" s="190">
        <f t="shared" si="18"/>
        <v>10.358823529411763</v>
      </c>
      <c r="Y94" s="210">
        <f t="shared" si="19"/>
        <v>1.7079999999999997</v>
      </c>
      <c r="Z94" s="10">
        <f t="shared" si="20"/>
        <v>-0.09202724640263037</v>
      </c>
    </row>
    <row r="95" spans="1:26" ht="13.5" thickBot="1">
      <c r="A95" s="203">
        <f t="shared" si="0"/>
        <v>241.70294117647057</v>
      </c>
      <c r="B95" s="10">
        <f t="shared" si="9"/>
        <v>-0.10523313116440151</v>
      </c>
      <c r="C95" s="11">
        <f t="shared" si="10"/>
        <v>345475.46491330425</v>
      </c>
      <c r="D95" s="189">
        <v>23</v>
      </c>
      <c r="E95" s="201">
        <f t="shared" si="11"/>
        <v>1.9088771159159024</v>
      </c>
      <c r="F95" s="191">
        <f t="shared" si="12"/>
        <v>264.5</v>
      </c>
      <c r="G95">
        <f t="shared" si="13"/>
        <v>1.4577723378212972</v>
      </c>
      <c r="H95" s="130">
        <f t="shared" si="14"/>
        <v>162.35294117647058</v>
      </c>
      <c r="I95" s="130">
        <f t="shared" si="15"/>
        <v>79.35</v>
      </c>
      <c r="J95" s="197">
        <f t="shared" si="16"/>
        <v>10.508823529411764</v>
      </c>
      <c r="K95" s="196">
        <f t="shared" si="1"/>
        <v>56800.19117647059</v>
      </c>
      <c r="L95" s="194">
        <f t="shared" si="2"/>
        <v>20023.196238071647</v>
      </c>
      <c r="N95" s="127">
        <f t="shared" si="3"/>
        <v>79669.47811764706</v>
      </c>
      <c r="O95" s="127">
        <f>Sheet2!$G$24*0.5*D95/20*$F$10/365+(Sheet2!$G$24*0.5*D95/20*$F$10/365)*($F$10/$F$14*$I$32*2)/$I$39</f>
        <v>20523.629318036463</v>
      </c>
      <c r="P95" s="127">
        <f>Sheet2!$F$27*(K95+L95+N95)</f>
        <v>28912.486832526727</v>
      </c>
      <c r="Q95" s="193">
        <f t="shared" si="4"/>
        <v>300197.5730528252</v>
      </c>
      <c r="R95" s="130">
        <f>($I$41+$F$10*Sheet2!$G$24/365)*J95/24</f>
        <v>24024.29943351685</v>
      </c>
      <c r="S95" s="198">
        <f t="shared" si="17"/>
        <v>21253.592426962216</v>
      </c>
      <c r="T95" s="201">
        <f t="shared" si="5"/>
        <v>1.633698106089784</v>
      </c>
      <c r="U95" s="201">
        <f t="shared" si="6"/>
        <v>0.25017675756242963</v>
      </c>
      <c r="V95" s="204">
        <f t="shared" si="7"/>
        <v>7.0588235294117645</v>
      </c>
      <c r="W95" s="204">
        <f t="shared" si="8"/>
        <v>3.4499999999999997</v>
      </c>
      <c r="X95" s="190">
        <f t="shared" si="18"/>
        <v>10.508823529411764</v>
      </c>
      <c r="Y95" s="210">
        <f t="shared" si="19"/>
        <v>1.7079999999999997</v>
      </c>
      <c r="Z95" s="10">
        <f t="shared" si="20"/>
        <v>-0.10523313116440151</v>
      </c>
    </row>
    <row r="96" spans="1:26" ht="13.5" thickBot="1">
      <c r="A96" s="203">
        <f t="shared" si="0"/>
        <v>255.81176470588235</v>
      </c>
      <c r="B96" s="10">
        <f t="shared" si="9"/>
        <v>-0.118321472223865</v>
      </c>
      <c r="C96" s="11">
        <f t="shared" si="10"/>
        <v>365847.63021687244</v>
      </c>
      <c r="D96" s="189">
        <v>24</v>
      </c>
      <c r="E96" s="201">
        <f t="shared" si="11"/>
        <v>1.9372140141692031</v>
      </c>
      <c r="F96" s="191">
        <f t="shared" si="12"/>
        <v>288</v>
      </c>
      <c r="G96">
        <f t="shared" si="13"/>
        <v>1.478580171358629</v>
      </c>
      <c r="H96" s="130">
        <f t="shared" si="14"/>
        <v>169.41176470588235</v>
      </c>
      <c r="I96" s="130">
        <f t="shared" si="15"/>
        <v>86.4</v>
      </c>
      <c r="J96" s="197">
        <f t="shared" si="16"/>
        <v>10.658823529411764</v>
      </c>
      <c r="K96" s="196">
        <f t="shared" si="1"/>
        <v>60115.76470588236</v>
      </c>
      <c r="L96" s="194">
        <f t="shared" si="2"/>
        <v>20893.769987553023</v>
      </c>
      <c r="N96" s="127">
        <f t="shared" si="3"/>
        <v>83190.39247058824</v>
      </c>
      <c r="O96" s="127">
        <f>Sheet2!$G$24*0.5*D96/20*$F$10/365+(Sheet2!$G$24*0.5*D96/20*$F$10/365)*($F$10/$F$14*$I$32*2)/$I$39</f>
        <v>21415.961027516303</v>
      </c>
      <c r="P96" s="127">
        <f>Sheet2!$F$27*(K96+L96+N96)</f>
        <v>30336.38764225436</v>
      </c>
      <c r="Q96" s="193">
        <f t="shared" si="4"/>
        <v>319302.7530076175</v>
      </c>
      <c r="R96" s="130">
        <f>($I$41+$F$10*Sheet2!$G$24/365)*J96/24</f>
        <v>24367.215546337833</v>
      </c>
      <c r="S96" s="198">
        <f t="shared" si="17"/>
        <v>22177.661662917097</v>
      </c>
      <c r="T96" s="201">
        <f t="shared" si="5"/>
        <v>1.6651334972672533</v>
      </c>
      <c r="U96" s="201">
        <f t="shared" si="6"/>
        <v>0.24646158938928395</v>
      </c>
      <c r="V96" s="204">
        <f t="shared" si="7"/>
        <v>7.0588235294117645</v>
      </c>
      <c r="W96" s="204">
        <f t="shared" si="8"/>
        <v>3.6</v>
      </c>
      <c r="X96" s="190">
        <f t="shared" si="18"/>
        <v>10.658823529411764</v>
      </c>
      <c r="Y96" s="210">
        <f t="shared" si="19"/>
        <v>1.7079999999999997</v>
      </c>
      <c r="Z96" s="10">
        <f t="shared" si="20"/>
        <v>-0.118321472223865</v>
      </c>
    </row>
    <row r="97" spans="1:26" ht="13.5" thickBot="1">
      <c r="A97" s="203">
        <f t="shared" si="0"/>
        <v>270.22058823529414</v>
      </c>
      <c r="B97" s="10">
        <f t="shared" si="9"/>
        <v>-0.13126799092261496</v>
      </c>
      <c r="C97" s="11">
        <f t="shared" si="10"/>
        <v>386770.5995509942</v>
      </c>
      <c r="D97" s="189">
        <v>25</v>
      </c>
      <c r="E97" s="201">
        <f t="shared" si="11"/>
        <v>1.9660838810508872</v>
      </c>
      <c r="F97" s="191">
        <f t="shared" si="12"/>
        <v>312.5</v>
      </c>
      <c r="G97">
        <f t="shared" si="13"/>
        <v>1.4993880048959607</v>
      </c>
      <c r="H97" s="130">
        <f t="shared" si="14"/>
        <v>176.47058823529412</v>
      </c>
      <c r="I97" s="130">
        <f t="shared" si="15"/>
        <v>93.75</v>
      </c>
      <c r="J97" s="197">
        <f t="shared" si="16"/>
        <v>10.808823529411764</v>
      </c>
      <c r="K97" s="196">
        <f t="shared" si="1"/>
        <v>63501.838235294126</v>
      </c>
      <c r="L97" s="194">
        <f t="shared" si="2"/>
        <v>21764.343737034404</v>
      </c>
      <c r="N97" s="127">
        <f t="shared" si="3"/>
        <v>86716.05882352941</v>
      </c>
      <c r="O97" s="127">
        <f>Sheet2!$G$24*0.5*D97/20*$F$10/365+(Sheet2!$G$24*0.5*D97/20*$F$10/365)*($F$10/$F$14*$I$32*2)/$I$39</f>
        <v>22308.292736996147</v>
      </c>
      <c r="P97" s="127">
        <f>Sheet2!$F$27*(K97+L97+N97)</f>
        <v>31774.191465718257</v>
      </c>
      <c r="Q97" s="193">
        <f t="shared" si="4"/>
        <v>338958.7369929634</v>
      </c>
      <c r="R97" s="130">
        <f>($I$41+$F$10*Sheet2!$G$24/365)*J97/24</f>
        <v>24710.131659158815</v>
      </c>
      <c r="S97" s="198">
        <f t="shared" si="17"/>
        <v>23101.730898871974</v>
      </c>
      <c r="T97" s="201">
        <f t="shared" si="5"/>
        <v>1.6968080773032925</v>
      </c>
      <c r="U97" s="201">
        <f t="shared" si="6"/>
        <v>0.24304363466998982</v>
      </c>
      <c r="V97" s="204">
        <f t="shared" si="7"/>
        <v>7.0588235294117645</v>
      </c>
      <c r="W97" s="204">
        <f t="shared" si="8"/>
        <v>3.75</v>
      </c>
      <c r="X97" s="190">
        <f t="shared" si="18"/>
        <v>10.808823529411766</v>
      </c>
      <c r="Y97" s="210">
        <f t="shared" si="19"/>
        <v>1.7079999999999997</v>
      </c>
      <c r="Z97" s="10">
        <f t="shared" si="20"/>
        <v>-0.13126799092261496</v>
      </c>
    </row>
    <row r="98" spans="1:26" ht="13.5" thickBot="1">
      <c r="A98" s="203">
        <f t="shared" si="0"/>
        <v>284.9294117647059</v>
      </c>
      <c r="B98" s="10">
        <f t="shared" si="9"/>
        <v>-0.1440537591529351</v>
      </c>
      <c r="C98" s="11">
        <f t="shared" si="10"/>
        <v>408249.9382837242</v>
      </c>
      <c r="D98" s="187">
        <v>26</v>
      </c>
      <c r="E98" s="201">
        <f t="shared" si="11"/>
        <v>1.9954524227008954</v>
      </c>
      <c r="F98" s="191">
        <f t="shared" si="12"/>
        <v>338</v>
      </c>
      <c r="G98">
        <f t="shared" si="13"/>
        <v>1.5201958384332925</v>
      </c>
      <c r="H98" s="130">
        <f t="shared" si="14"/>
        <v>183.52941176470588</v>
      </c>
      <c r="I98" s="130">
        <f t="shared" si="15"/>
        <v>101.4</v>
      </c>
      <c r="J98" s="197">
        <f t="shared" si="16"/>
        <v>10.958823529411765</v>
      </c>
      <c r="K98" s="196">
        <f t="shared" si="1"/>
        <v>66958.41176470587</v>
      </c>
      <c r="L98" s="194">
        <f t="shared" si="2"/>
        <v>22634.917486515777</v>
      </c>
      <c r="N98" s="127">
        <f t="shared" si="3"/>
        <v>90246.4771764706</v>
      </c>
      <c r="O98" s="127">
        <f>Sheet2!$G$24*0.5*D98/20*$F$10/365+(Sheet2!$G$24*0.5*D98/20*$F$10/365)*($F$10/$F$14*$I$32*2)/$I$39</f>
        <v>23200.624446475995</v>
      </c>
      <c r="P98" s="127">
        <f>Sheet2!$F$27*(K98+L98+N98)</f>
        <v>33225.89830291841</v>
      </c>
      <c r="Q98" s="193">
        <f t="shared" si="4"/>
        <v>359171.0903769175</v>
      </c>
      <c r="R98" s="130">
        <f>($I$41+$F$10*Sheet2!$G$24/365)*J98/24</f>
        <v>25053.047771979793</v>
      </c>
      <c r="S98" s="198">
        <f t="shared" si="17"/>
        <v>24025.80013482685</v>
      </c>
      <c r="T98" s="201">
        <f t="shared" si="5"/>
        <v>1.7287210040606376</v>
      </c>
      <c r="U98" s="201">
        <f t="shared" si="6"/>
        <v>0.23988859954448763</v>
      </c>
      <c r="V98" s="204">
        <f t="shared" si="7"/>
        <v>7.0588235294117645</v>
      </c>
      <c r="W98" s="204">
        <f t="shared" si="8"/>
        <v>3.9000000000000004</v>
      </c>
      <c r="X98" s="190">
        <f t="shared" si="18"/>
        <v>10.958823529411765</v>
      </c>
      <c r="Y98" s="210">
        <f t="shared" si="19"/>
        <v>1.7079999999999997</v>
      </c>
      <c r="Z98" s="10">
        <f t="shared" si="20"/>
        <v>-0.1440537591529351</v>
      </c>
    </row>
    <row r="99" spans="1:26" ht="13.5" thickBot="1">
      <c r="A99" s="203">
        <f t="shared" si="0"/>
        <v>299.93823529411765</v>
      </c>
      <c r="B99" s="10">
        <f t="shared" si="9"/>
        <v>-0.15666416124039917</v>
      </c>
      <c r="C99" s="11">
        <f t="shared" si="10"/>
        <v>430291.211783117</v>
      </c>
      <c r="D99" s="188">
        <v>27</v>
      </c>
      <c r="E99" s="201">
        <f t="shared" si="11"/>
        <v>2.0252904258310287</v>
      </c>
      <c r="F99" s="191">
        <f t="shared" si="12"/>
        <v>364.5</v>
      </c>
      <c r="G99">
        <f t="shared" si="13"/>
        <v>1.5410036719706244</v>
      </c>
      <c r="H99" s="130">
        <f t="shared" si="14"/>
        <v>190.58823529411765</v>
      </c>
      <c r="I99" s="130">
        <f t="shared" si="15"/>
        <v>109.35</v>
      </c>
      <c r="J99" s="197">
        <f t="shared" si="16"/>
        <v>11.108823529411765</v>
      </c>
      <c r="K99" s="196">
        <f t="shared" si="1"/>
        <v>70485.48529411765</v>
      </c>
      <c r="L99" s="194">
        <f t="shared" si="2"/>
        <v>23505.491235997157</v>
      </c>
      <c r="N99" s="127">
        <f t="shared" si="3"/>
        <v>93781.64752941177</v>
      </c>
      <c r="O99" s="127">
        <f>Sheet2!$G$24*0.5*D99/20*$F$10/365+(Sheet2!$G$24*0.5*D99/20*$F$10/365)*($F$10/$F$14*$I$32*2)/$I$39</f>
        <v>24092.956155955842</v>
      </c>
      <c r="P99" s="127">
        <f>Sheet2!$F$27*(K99+L99+N99)</f>
        <v>34691.50815385484</v>
      </c>
      <c r="Q99" s="193">
        <f t="shared" si="4"/>
        <v>379945.3785275344</v>
      </c>
      <c r="R99" s="130">
        <f>($I$41+$F$10*Sheet2!$G$24/365)*J99/24</f>
        <v>25395.963884800774</v>
      </c>
      <c r="S99" s="198">
        <f t="shared" si="17"/>
        <v>24949.869370781733</v>
      </c>
      <c r="T99" s="201">
        <f t="shared" si="5"/>
        <v>1.7608715601631</v>
      </c>
      <c r="U99" s="201">
        <f t="shared" si="6"/>
        <v>0.23696727072457816</v>
      </c>
      <c r="V99" s="204">
        <f t="shared" si="7"/>
        <v>7.0588235294117645</v>
      </c>
      <c r="W99" s="204">
        <f t="shared" si="8"/>
        <v>4.05</v>
      </c>
      <c r="X99" s="190">
        <f t="shared" si="18"/>
        <v>11.108823529411765</v>
      </c>
      <c r="Y99" s="210">
        <f t="shared" si="19"/>
        <v>1.7079999999999997</v>
      </c>
      <c r="Z99" s="10">
        <f t="shared" si="20"/>
        <v>-0.15666416124039917</v>
      </c>
    </row>
    <row r="100" spans="1:26" ht="13.5" thickBot="1">
      <c r="A100" s="203">
        <f t="shared" si="0"/>
        <v>315.2470588235294</v>
      </c>
      <c r="B100" s="10">
        <f t="shared" si="9"/>
        <v>-0.1690880721638328</v>
      </c>
      <c r="C100" s="11">
        <f t="shared" si="10"/>
        <v>452899.9854172268</v>
      </c>
      <c r="D100" s="187">
        <v>28</v>
      </c>
      <c r="E100" s="201">
        <f t="shared" si="11"/>
        <v>2.055572850479973</v>
      </c>
      <c r="F100" s="191">
        <f t="shared" si="12"/>
        <v>392</v>
      </c>
      <c r="G100">
        <f t="shared" si="13"/>
        <v>1.5618115055079558</v>
      </c>
      <c r="H100" s="130">
        <f t="shared" si="14"/>
        <v>197.6470588235294</v>
      </c>
      <c r="I100" s="130">
        <f t="shared" si="15"/>
        <v>117.6</v>
      </c>
      <c r="J100" s="197">
        <f t="shared" si="16"/>
        <v>11.258823529411764</v>
      </c>
      <c r="K100" s="196">
        <f t="shared" si="1"/>
        <v>74083.05882352941</v>
      </c>
      <c r="L100" s="194">
        <f t="shared" si="2"/>
        <v>24376.06498547853</v>
      </c>
      <c r="N100" s="127">
        <f t="shared" si="3"/>
        <v>97321.56988235294</v>
      </c>
      <c r="O100" s="127">
        <f>Sheet2!$G$24*0.5*D100/20*$F$10/365+(Sheet2!$G$24*0.5*D100/20*$F$10/365)*($F$10/$F$14*$I$32*2)/$I$39</f>
        <v>24985.287865435686</v>
      </c>
      <c r="P100" s="127">
        <f>Sheet2!$F$27*(K100+L100+N100)</f>
        <v>36171.02101852752</v>
      </c>
      <c r="Q100" s="193">
        <f t="shared" si="4"/>
        <v>401287.16681286844</v>
      </c>
      <c r="R100" s="130">
        <f>($I$41+$F$10*Sheet2!$G$24/365)*J100/24</f>
        <v>25738.879997621752</v>
      </c>
      <c r="S100" s="198">
        <f t="shared" si="17"/>
        <v>25873.93860673661</v>
      </c>
      <c r="T100" s="201">
        <f t="shared" si="5"/>
        <v>1.7932591307168015</v>
      </c>
      <c r="U100" s="201">
        <f t="shared" si="6"/>
        <v>0.23425460824894792</v>
      </c>
      <c r="V100" s="204">
        <f t="shared" si="7"/>
        <v>7.058823529411764</v>
      </c>
      <c r="W100" s="204">
        <f t="shared" si="8"/>
        <v>4.2</v>
      </c>
      <c r="X100" s="190">
        <f t="shared" si="18"/>
        <v>11.258823529411766</v>
      </c>
      <c r="Y100" s="210">
        <f t="shared" si="19"/>
        <v>1.7079999999999997</v>
      </c>
      <c r="Z100" s="10">
        <f t="shared" si="20"/>
        <v>-0.1690880721638328</v>
      </c>
    </row>
    <row r="101" spans="1:26" ht="13.5" thickBot="1">
      <c r="A101" s="203">
        <f t="shared" si="0"/>
        <v>330.8558823529412</v>
      </c>
      <c r="B101" s="10">
        <f t="shared" si="9"/>
        <v>-0.1813172024261931</v>
      </c>
      <c r="C101" s="11">
        <f t="shared" si="10"/>
        <v>476081.82455410855</v>
      </c>
      <c r="D101" s="187">
        <v>29</v>
      </c>
      <c r="E101" s="201">
        <f t="shared" si="11"/>
        <v>2.0862781104741828</v>
      </c>
      <c r="F101" s="191">
        <f t="shared" si="12"/>
        <v>420.5</v>
      </c>
      <c r="G101">
        <f t="shared" si="13"/>
        <v>1.5826193390452876</v>
      </c>
      <c r="H101" s="130">
        <f t="shared" si="14"/>
        <v>204.70588235294116</v>
      </c>
      <c r="I101" s="130">
        <f t="shared" si="15"/>
        <v>126.15</v>
      </c>
      <c r="J101" s="197">
        <f t="shared" si="16"/>
        <v>11.408823529411764</v>
      </c>
      <c r="K101" s="196">
        <f t="shared" si="1"/>
        <v>77751.13235294117</v>
      </c>
      <c r="L101" s="194">
        <f t="shared" si="2"/>
        <v>25246.638734959906</v>
      </c>
      <c r="N101" s="127">
        <f t="shared" si="3"/>
        <v>100866.24423529411</v>
      </c>
      <c r="O101" s="127">
        <f>Sheet2!$G$24*0.5*D101/20*$F$10/365+(Sheet2!$G$24*0.5*D101/20*$F$10/365)*($F$10/$F$14*$I$32*2)/$I$39</f>
        <v>25877.619574915538</v>
      </c>
      <c r="P101" s="127">
        <f>Sheet2!$F$27*(K101+L101+N101)</f>
        <v>37664.43689693647</v>
      </c>
      <c r="Q101" s="193">
        <f>SUM(K101:P101)*G101</f>
        <v>423202.0206009743</v>
      </c>
      <c r="R101" s="130">
        <f>($I$41+$F$10*Sheet2!$G$24/365)*J101/24</f>
        <v>26081.796110442734</v>
      </c>
      <c r="S101" s="198">
        <f t="shared" si="17"/>
        <v>26798.007842691488</v>
      </c>
      <c r="T101" s="201">
        <f t="shared" si="5"/>
        <v>1.8258831856408164</v>
      </c>
      <c r="U101" s="201">
        <f t="shared" si="6"/>
        <v>0.23172902594405081</v>
      </c>
      <c r="V101" s="204">
        <f t="shared" si="7"/>
        <v>7.0588235294117645</v>
      </c>
      <c r="W101" s="204">
        <f t="shared" si="8"/>
        <v>4.3500000000000005</v>
      </c>
      <c r="X101" s="190">
        <f>A101/D101</f>
        <v>11.408823529411766</v>
      </c>
      <c r="Y101" s="210">
        <f t="shared" si="19"/>
        <v>1.7079999999999997</v>
      </c>
      <c r="Z101" s="10">
        <f t="shared" si="20"/>
        <v>-0.1813172024261931</v>
      </c>
    </row>
    <row r="102" spans="1:26" ht="13.5" thickBot="1">
      <c r="A102" s="203">
        <f t="shared" si="0"/>
        <v>346.7647058823529</v>
      </c>
      <c r="B102" s="10">
        <f t="shared" si="9"/>
        <v>-0.19334557242007203</v>
      </c>
      <c r="C102" s="11">
        <f t="shared" si="10"/>
        <v>499842.2945618166</v>
      </c>
      <c r="D102" s="189">
        <v>30</v>
      </c>
      <c r="E102" s="201">
        <f t="shared" si="11"/>
        <v>2.1173874977965843</v>
      </c>
      <c r="F102" s="191">
        <f t="shared" si="12"/>
        <v>450</v>
      </c>
      <c r="G102">
        <f t="shared" si="13"/>
        <v>1.6034271725826192</v>
      </c>
      <c r="H102" s="130">
        <f t="shared" si="14"/>
        <v>211.76470588235293</v>
      </c>
      <c r="I102" s="130">
        <f t="shared" si="15"/>
        <v>135</v>
      </c>
      <c r="J102" s="197">
        <f t="shared" si="16"/>
        <v>11.558823529411764</v>
      </c>
      <c r="K102" s="196">
        <f t="shared" si="1"/>
        <v>81489.70588235294</v>
      </c>
      <c r="L102" s="194">
        <f t="shared" si="2"/>
        <v>26117.212484441283</v>
      </c>
      <c r="N102" s="127">
        <f t="shared" si="3"/>
        <v>104415.67058823528</v>
      </c>
      <c r="O102" s="127">
        <f>Sheet2!$G$24*0.5*D102/20*$F$10/365+(Sheet2!$G$24*0.5*D102/20*$F$10/365)*($F$10/$F$14*$I$32*2)/$I$39</f>
        <v>26769.951284395378</v>
      </c>
      <c r="P102" s="127">
        <f>Sheet2!$F$27*(K102+L102+N102)</f>
        <v>39171.75578908168</v>
      </c>
      <c r="Q102" s="193">
        <f>SUM(K102:P102)*G102</f>
        <v>445695.5052599065</v>
      </c>
      <c r="R102" s="130">
        <f>($I$41+$F$10*Sheet2!$G$24/365)*J102/24</f>
        <v>26424.71222326371</v>
      </c>
      <c r="S102" s="198">
        <f aca="true" t="shared" si="21" ref="S102:S111">($I$42/25/365)*D102/10</f>
        <v>27722.07707864637</v>
      </c>
      <c r="T102" s="201">
        <f aca="true" t="shared" si="22" ref="T102:T111">Q102/($F$10*$F$18*100*D102)*($F$9*$F$10/$F$11)+(2*$C$73)/($F$18*$F$10*100*D102)</f>
        <v>1.8587432655316733</v>
      </c>
      <c r="U102" s="201">
        <f t="shared" si="6"/>
        <v>0.22937181579281352</v>
      </c>
      <c r="V102" s="204">
        <f t="shared" si="7"/>
        <v>7.0588235294117645</v>
      </c>
      <c r="W102" s="204">
        <f t="shared" si="8"/>
        <v>4.5</v>
      </c>
      <c r="X102" s="190">
        <f>A102/D102</f>
        <v>11.558823529411764</v>
      </c>
      <c r="Y102" s="210">
        <f t="shared" si="19"/>
        <v>1.7079999999999997</v>
      </c>
      <c r="Z102" s="10">
        <f t="shared" si="20"/>
        <v>-0.19334557242007203</v>
      </c>
    </row>
    <row r="103" spans="1:26" ht="13.5" thickBot="1">
      <c r="A103" s="203">
        <f t="shared" si="0"/>
        <v>362.97352941176473</v>
      </c>
      <c r="B103" s="10">
        <f t="shared" si="9"/>
        <v>-0.20516908822483054</v>
      </c>
      <c r="C103" s="11">
        <f t="shared" si="10"/>
        <v>524186.9608084055</v>
      </c>
      <c r="D103" s="187">
        <v>31</v>
      </c>
      <c r="E103" s="201">
        <f t="shared" si="11"/>
        <v>2.1488847183677913</v>
      </c>
      <c r="F103" s="191">
        <f t="shared" si="12"/>
        <v>480.5</v>
      </c>
      <c r="G103">
        <f t="shared" si="13"/>
        <v>1.624235006119951</v>
      </c>
      <c r="H103" s="130">
        <f t="shared" si="14"/>
        <v>218.8235294117647</v>
      </c>
      <c r="I103" s="130">
        <f t="shared" si="15"/>
        <v>144.15</v>
      </c>
      <c r="J103" s="197">
        <f t="shared" si="16"/>
        <v>11.708823529411765</v>
      </c>
      <c r="K103" s="196">
        <f t="shared" si="1"/>
        <v>85298.77941176471</v>
      </c>
      <c r="L103" s="194">
        <f t="shared" si="2"/>
        <v>26987.786233922656</v>
      </c>
      <c r="N103" s="127">
        <f t="shared" si="3"/>
        <v>107969.84894117646</v>
      </c>
      <c r="O103" s="127">
        <f>Sheet2!$G$24*0.5*D103/20*$F$10/365+(Sheet2!$G$24*0.5*D103/20*$F$10/365)*($F$10/$F$14*$I$32*2)/$I$39</f>
        <v>27662.282993875226</v>
      </c>
      <c r="P103" s="127">
        <f>Sheet2!$F$27*(K103+L103+N103)</f>
        <v>40692.97769496316</v>
      </c>
      <c r="Q103" s="193">
        <f aca="true" t="shared" si="23" ref="Q103:Q133">SUM(K103:P103)*G103</f>
        <v>468773.1861577195</v>
      </c>
      <c r="R103" s="130">
        <f>($I$41+$F$10*Sheet2!$G$24/365)*J103/24</f>
        <v>26767.62833608469</v>
      </c>
      <c r="S103" s="198">
        <f t="shared" si="21"/>
        <v>28646.14631460125</v>
      </c>
      <c r="T103" s="201">
        <f t="shared" si="22"/>
        <v>1.8918389702637686</v>
      </c>
      <c r="U103" s="201">
        <f t="shared" si="6"/>
        <v>0.2271666837158496</v>
      </c>
      <c r="V103" s="204">
        <f t="shared" si="7"/>
        <v>7.0588235294117645</v>
      </c>
      <c r="W103" s="204">
        <f t="shared" si="8"/>
        <v>4.65</v>
      </c>
      <c r="X103" s="190">
        <f t="shared" si="18"/>
        <v>11.708823529411765</v>
      </c>
      <c r="Y103" s="210">
        <f t="shared" si="19"/>
        <v>1.7079999999999997</v>
      </c>
      <c r="Z103" s="10">
        <f t="shared" si="20"/>
        <v>-0.20516908822483054</v>
      </c>
    </row>
    <row r="104" spans="1:26" ht="13.5" thickBot="1">
      <c r="A104" s="203">
        <f t="shared" si="0"/>
        <v>379.4823529411765</v>
      </c>
      <c r="B104" s="10">
        <f t="shared" si="9"/>
        <v>-0.21678519744423644</v>
      </c>
      <c r="C104" s="11">
        <f t="shared" si="10"/>
        <v>549121.3886619298</v>
      </c>
      <c r="D104" s="188">
        <v>32</v>
      </c>
      <c r="E104" s="201">
        <f t="shared" si="11"/>
        <v>2.1807555148683404</v>
      </c>
      <c r="F104" s="191">
        <f t="shared" si="12"/>
        <v>512</v>
      </c>
      <c r="G104">
        <f t="shared" si="13"/>
        <v>1.6450428396572827</v>
      </c>
      <c r="H104" s="130">
        <f t="shared" si="14"/>
        <v>225.88235294117646</v>
      </c>
      <c r="I104" s="130">
        <f t="shared" si="15"/>
        <v>153.6</v>
      </c>
      <c r="J104" s="197">
        <f t="shared" si="16"/>
        <v>11.858823529411765</v>
      </c>
      <c r="K104" s="196">
        <f t="shared" si="1"/>
        <v>89178.35294117648</v>
      </c>
      <c r="L104" s="194">
        <f t="shared" si="2"/>
        <v>27858.359983404032</v>
      </c>
      <c r="N104" s="127">
        <f t="shared" si="3"/>
        <v>111528.77929411766</v>
      </c>
      <c r="O104" s="127">
        <f>Sheet2!$G$24*0.5*D104/20*$F$10/365+(Sheet2!$G$24*0.5*D104/20*$F$10/365)*($F$10/$F$14*$I$32*2)/$I$39</f>
        <v>28554.614703355077</v>
      </c>
      <c r="P104" s="127">
        <f>Sheet2!$F$27*(K104+L104+N104)</f>
        <v>42228.10261458091</v>
      </c>
      <c r="Q104" s="193">
        <f t="shared" si="23"/>
        <v>492440.62866246793</v>
      </c>
      <c r="R104" s="130">
        <f>($I$41+$F$10*Sheet2!$G$24/365)*J104/24</f>
        <v>27110.54444890567</v>
      </c>
      <c r="S104" s="198">
        <f t="shared" si="21"/>
        <v>29570.215550556128</v>
      </c>
      <c r="T104" s="201">
        <f t="shared" si="22"/>
        <v>1.9251699497271997</v>
      </c>
      <c r="U104" s="201">
        <f t="shared" si="6"/>
        <v>0.22509937239369598</v>
      </c>
      <c r="V104" s="204">
        <f t="shared" si="7"/>
        <v>7.0588235294117645</v>
      </c>
      <c r="W104" s="204">
        <f t="shared" si="8"/>
        <v>4.8</v>
      </c>
      <c r="X104" s="190">
        <f t="shared" si="18"/>
        <v>11.858823529411765</v>
      </c>
      <c r="Y104" s="210">
        <f t="shared" si="19"/>
        <v>1.7079999999999997</v>
      </c>
      <c r="Z104" s="10">
        <f t="shared" si="20"/>
        <v>-0.21678519744423644</v>
      </c>
    </row>
    <row r="105" spans="1:26" ht="13.5" thickBot="1">
      <c r="A105" s="203">
        <f aca="true" t="shared" si="24" ref="A105:A133">H105+I105</f>
        <v>396.2911764705882</v>
      </c>
      <c r="B105" s="10">
        <f t="shared" si="9"/>
        <v>-0.22819260863895668</v>
      </c>
      <c r="C105" s="11">
        <f t="shared" si="10"/>
        <v>574651.1434904437</v>
      </c>
      <c r="D105" s="187">
        <v>33</v>
      </c>
      <c r="E105" s="201">
        <f t="shared" si="11"/>
        <v>2.2129873581387036</v>
      </c>
      <c r="F105" s="191">
        <f t="shared" si="12"/>
        <v>544.5</v>
      </c>
      <c r="G105">
        <f t="shared" si="13"/>
        <v>1.6658506731946143</v>
      </c>
      <c r="H105" s="130">
        <f t="shared" si="14"/>
        <v>232.94117647058823</v>
      </c>
      <c r="I105" s="130">
        <f t="shared" si="15"/>
        <v>163.35</v>
      </c>
      <c r="J105" s="197">
        <f t="shared" si="16"/>
        <v>12.008823529411764</v>
      </c>
      <c r="K105" s="196">
        <f aca="true" t="shared" si="25" ref="K105:K133">(H105+I105)*$F$21*$L$18+(IF(J105&gt;8,(H105+I105)*$F$21*$L$18+1.5*(H105+I105)*$F$21*$L$18-((H105+I105)*$F$21*$L$18),0))</f>
        <v>93128.42647058822</v>
      </c>
      <c r="L105" s="194">
        <f aca="true" t="shared" si="26" ref="L105:L133">$F$18*D105*$L$20*($I$27/24)+D105*$F$23*$L$24*($I$27/24)</f>
        <v>28728.933732885413</v>
      </c>
      <c r="N105" s="127">
        <f aca="true" t="shared" si="27" ref="N105:N133">(H105*$L$25*$F$23+I105*$L$26*$F$23)*$F$24*0.8</f>
        <v>115092.46164705882</v>
      </c>
      <c r="O105" s="127">
        <f>Sheet2!$G$24*0.5*D105/20*$F$10/365+(Sheet2!$G$24*0.5*D105/20*$F$10/365)*($F$10/$F$14*$I$32*2)/$I$39</f>
        <v>29446.946412834917</v>
      </c>
      <c r="P105" s="127">
        <f>Sheet2!$F$27*(K105+L105+N105)</f>
        <v>43777.13054793491</v>
      </c>
      <c r="Q105" s="193">
        <f t="shared" si="23"/>
        <v>516703.3981422061</v>
      </c>
      <c r="R105" s="130">
        <f>($I$41+$F$10*Sheet2!$G$24/365)*J105/24</f>
        <v>27453.46056172665</v>
      </c>
      <c r="S105" s="198">
        <f t="shared" si="21"/>
        <v>30494.284786511</v>
      </c>
      <c r="T105" s="201">
        <f t="shared" si="22"/>
        <v>1.9587358962496257</v>
      </c>
      <c r="U105" s="201">
        <f t="shared" si="6"/>
        <v>0.2231573526668243</v>
      </c>
      <c r="V105" s="204">
        <f aca="true" t="shared" si="28" ref="V105:V133">H105/D105</f>
        <v>7.0588235294117645</v>
      </c>
      <c r="W105" s="204">
        <f aca="true" t="shared" si="29" ref="W105:W133">I105/D105</f>
        <v>4.95</v>
      </c>
      <c r="X105" s="190">
        <f t="shared" si="18"/>
        <v>12.008823529411764</v>
      </c>
      <c r="Y105" s="210">
        <f t="shared" si="19"/>
        <v>1.7079999999999997</v>
      </c>
      <c r="Z105" s="10">
        <f t="shared" si="20"/>
        <v>-0.22819260863895668</v>
      </c>
    </row>
    <row r="106" spans="1:26" ht="13.5" thickBot="1">
      <c r="A106" s="203">
        <f t="shared" si="24"/>
        <v>413.4</v>
      </c>
      <c r="B106" s="10">
        <f t="shared" si="9"/>
        <v>-0.23939106160911586</v>
      </c>
      <c r="C106" s="11">
        <f t="shared" si="10"/>
        <v>600781.7906620023</v>
      </c>
      <c r="D106" s="187">
        <v>34</v>
      </c>
      <c r="E106" s="201">
        <f t="shared" si="11"/>
        <v>2.245569193038121</v>
      </c>
      <c r="F106" s="191">
        <f t="shared" si="12"/>
        <v>578</v>
      </c>
      <c r="G106">
        <f t="shared" si="13"/>
        <v>1.686658506731946</v>
      </c>
      <c r="H106" s="130">
        <f t="shared" si="14"/>
        <v>240</v>
      </c>
      <c r="I106" s="130">
        <f t="shared" si="15"/>
        <v>173.4</v>
      </c>
      <c r="J106" s="197">
        <f t="shared" si="16"/>
        <v>12.158823529411764</v>
      </c>
      <c r="K106" s="196">
        <f t="shared" si="25"/>
        <v>97149</v>
      </c>
      <c r="L106" s="194">
        <f t="shared" si="26"/>
        <v>29599.50748236679</v>
      </c>
      <c r="N106" s="127">
        <f t="shared" si="27"/>
        <v>118660.89600000001</v>
      </c>
      <c r="O106" s="127">
        <f>Sheet2!$G$24*0.5*D106/20*$F$10/365+(Sheet2!$G$24*0.5*D106/20*$F$10/365)*($F$10/$F$14*$I$32*2)/$I$39</f>
        <v>30339.27812231477</v>
      </c>
      <c r="P106" s="127">
        <f>Sheet2!$F$27*(K106+L106+N106)</f>
        <v>45340.06149502518</v>
      </c>
      <c r="Q106" s="193">
        <f t="shared" si="23"/>
        <v>541567.0599649887</v>
      </c>
      <c r="R106" s="130">
        <f>($I$41+$F$10*Sheet2!$G$24/365)*J106/24</f>
        <v>27796.376674547628</v>
      </c>
      <c r="S106" s="198">
        <f t="shared" si="21"/>
        <v>31418.354022465886</v>
      </c>
      <c r="T106" s="201">
        <f t="shared" si="22"/>
        <v>1.9925365383554554</v>
      </c>
      <c r="U106" s="201">
        <f t="shared" si="6"/>
        <v>0.2213295693944745</v>
      </c>
      <c r="V106" s="204">
        <f t="shared" si="28"/>
        <v>7.0588235294117645</v>
      </c>
      <c r="W106" s="204">
        <f t="shared" si="29"/>
        <v>5.1000000000000005</v>
      </c>
      <c r="X106" s="190">
        <f t="shared" si="18"/>
        <v>12.158823529411764</v>
      </c>
      <c r="Y106" s="210">
        <f t="shared" si="19"/>
        <v>1.7079999999999997</v>
      </c>
      <c r="Z106" s="10">
        <f t="shared" si="20"/>
        <v>-0.23939106160911586</v>
      </c>
    </row>
    <row r="107" spans="1:26" ht="13.5" thickBot="1">
      <c r="A107" s="203">
        <f t="shared" si="24"/>
        <v>430.80882352941177</v>
      </c>
      <c r="B107" s="10">
        <f t="shared" si="9"/>
        <v>-0.250381138576373</v>
      </c>
      <c r="C107" s="11">
        <f t="shared" si="10"/>
        <v>627518.8955446599</v>
      </c>
      <c r="D107" s="189">
        <v>35</v>
      </c>
      <c r="E107" s="201">
        <f t="shared" si="11"/>
        <v>2.2784912278704916</v>
      </c>
      <c r="F107" s="191">
        <f t="shared" si="12"/>
        <v>612.5</v>
      </c>
      <c r="G107">
        <f t="shared" si="13"/>
        <v>1.7074663402692778</v>
      </c>
      <c r="H107" s="130">
        <f t="shared" si="14"/>
        <v>247.05882352941177</v>
      </c>
      <c r="I107" s="130">
        <f t="shared" si="15"/>
        <v>183.75</v>
      </c>
      <c r="J107" s="197">
        <f t="shared" si="16"/>
        <v>12.308823529411764</v>
      </c>
      <c r="K107" s="196">
        <f t="shared" si="25"/>
        <v>101240.07352941178</v>
      </c>
      <c r="L107" s="194">
        <f t="shared" si="26"/>
        <v>30470.081231848162</v>
      </c>
      <c r="N107" s="127">
        <f t="shared" si="27"/>
        <v>122234.08235294119</v>
      </c>
      <c r="O107" s="127">
        <f>Sheet2!$G$24*0.5*D107/20*$F$10/365+(Sheet2!$G$24*0.5*D107/20*$F$10/365)*($F$10/$F$14*$I$32*2)/$I$39</f>
        <v>31231.609831794613</v>
      </c>
      <c r="P107" s="127">
        <f>Sheet2!$F$27*(K107+L107+N107)</f>
        <v>46916.895455851714</v>
      </c>
      <c r="Q107" s="193">
        <f t="shared" si="23"/>
        <v>567037.1794988705</v>
      </c>
      <c r="R107" s="130">
        <f>($I$41+$F$10*Sheet2!$G$24/365)*J107/24</f>
        <v>28139.29278736861</v>
      </c>
      <c r="S107" s="198">
        <f t="shared" si="21"/>
        <v>32342.423258420768</v>
      </c>
      <c r="T107" s="201">
        <f t="shared" si="22"/>
        <v>2.0265716355948773</v>
      </c>
      <c r="U107" s="201">
        <f t="shared" si="6"/>
        <v>0.21960623088054476</v>
      </c>
      <c r="V107" s="204">
        <f t="shared" si="28"/>
        <v>7.0588235294117645</v>
      </c>
      <c r="W107" s="204">
        <f t="shared" si="29"/>
        <v>5.25</v>
      </c>
      <c r="X107" s="190">
        <f t="shared" si="18"/>
        <v>12.308823529411764</v>
      </c>
      <c r="Y107" s="210">
        <f t="shared" si="19"/>
        <v>1.7079999999999997</v>
      </c>
      <c r="Z107" s="10">
        <f t="shared" si="20"/>
        <v>-0.250381138576373</v>
      </c>
    </row>
    <row r="108" spans="1:26" ht="13.5" thickBot="1">
      <c r="A108" s="203">
        <f t="shared" si="24"/>
        <v>448.5176470588235</v>
      </c>
      <c r="B108" s="10">
        <f t="shared" si="9"/>
        <v>-0.2611641084423493</v>
      </c>
      <c r="C108" s="11">
        <f t="shared" si="10"/>
        <v>654868.0235064707</v>
      </c>
      <c r="D108" s="187">
        <v>36</v>
      </c>
      <c r="E108" s="201">
        <f t="shared" si="11"/>
        <v>2.3117447589059443</v>
      </c>
      <c r="F108" s="191">
        <f t="shared" si="12"/>
        <v>648</v>
      </c>
      <c r="G108">
        <f t="shared" si="13"/>
        <v>1.7282741738066096</v>
      </c>
      <c r="H108" s="130">
        <f t="shared" si="14"/>
        <v>254.11764705882354</v>
      </c>
      <c r="I108" s="130">
        <f t="shared" si="15"/>
        <v>194.4</v>
      </c>
      <c r="J108" s="197">
        <f t="shared" si="16"/>
        <v>12.458823529411765</v>
      </c>
      <c r="K108" s="196">
        <f t="shared" si="25"/>
        <v>105401.64705882352</v>
      </c>
      <c r="L108" s="194">
        <f t="shared" si="26"/>
        <v>31340.65498132954</v>
      </c>
      <c r="N108" s="127">
        <f t="shared" si="27"/>
        <v>125812.02070588234</v>
      </c>
      <c r="O108" s="127">
        <f>Sheet2!$G$24*0.5*D108/20*$F$10/365+(Sheet2!$G$24*0.5*D108/20*$F$10/365)*($F$10/$F$14*$I$32*2)/$I$39</f>
        <v>32123.941541274457</v>
      </c>
      <c r="P108" s="127">
        <f>Sheet2!$F$27*(K108+L108+N108)</f>
        <v>48507.6324304145</v>
      </c>
      <c r="Q108" s="193">
        <f t="shared" si="23"/>
        <v>593119.3221119054</v>
      </c>
      <c r="R108" s="130">
        <f>($I$41+$F$10*Sheet2!$G$24/365)*J108/24</f>
        <v>28482.20890018959</v>
      </c>
      <c r="S108" s="198">
        <f t="shared" si="21"/>
        <v>33266.49249437564</v>
      </c>
      <c r="T108" s="201">
        <f t="shared" si="22"/>
        <v>2.0608409742347242</v>
      </c>
      <c r="U108" s="201">
        <f t="shared" si="6"/>
        <v>0.2179786333951666</v>
      </c>
      <c r="V108" s="204">
        <f t="shared" si="28"/>
        <v>7.0588235294117645</v>
      </c>
      <c r="W108" s="204">
        <f t="shared" si="29"/>
        <v>5.4</v>
      </c>
      <c r="X108" s="190">
        <f t="shared" si="18"/>
        <v>12.458823529411765</v>
      </c>
      <c r="Y108" s="210">
        <f t="shared" si="19"/>
        <v>1.7079999999999997</v>
      </c>
      <c r="Z108" s="10">
        <f t="shared" si="20"/>
        <v>-0.2611641084423493</v>
      </c>
    </row>
    <row r="109" spans="1:26" ht="13.5" thickBot="1">
      <c r="A109" s="203">
        <f t="shared" si="24"/>
        <v>466.52647058823527</v>
      </c>
      <c r="B109" s="10">
        <f t="shared" si="9"/>
        <v>-0.2717417979326224</v>
      </c>
      <c r="C109" s="11">
        <f t="shared" si="10"/>
        <v>682834.7399154897</v>
      </c>
      <c r="D109" s="187">
        <v>37</v>
      </c>
      <c r="E109" s="201">
        <f t="shared" si="11"/>
        <v>2.3453220233583822</v>
      </c>
      <c r="F109" s="191">
        <f t="shared" si="12"/>
        <v>684.5</v>
      </c>
      <c r="G109">
        <f t="shared" si="13"/>
        <v>1.7490820073439413</v>
      </c>
      <c r="H109" s="130">
        <f t="shared" si="14"/>
        <v>261.1764705882353</v>
      </c>
      <c r="I109" s="130">
        <f t="shared" si="15"/>
        <v>205.35</v>
      </c>
      <c r="J109" s="197">
        <f t="shared" si="16"/>
        <v>12.608823529411765</v>
      </c>
      <c r="K109" s="196">
        <f t="shared" si="25"/>
        <v>109633.72058823527</v>
      </c>
      <c r="L109" s="194">
        <f t="shared" si="26"/>
        <v>32211.228730810915</v>
      </c>
      <c r="N109" s="127">
        <f t="shared" si="27"/>
        <v>129394.71105882354</v>
      </c>
      <c r="O109" s="127">
        <f>Sheet2!$G$24*0.5*D109/20*$F$10/365+(Sheet2!$G$24*0.5*D109/20*$F$10/365)*($F$10/$F$14*$I$32*2)/$I$39</f>
        <v>33016.273250754304</v>
      </c>
      <c r="P109" s="127">
        <f>Sheet2!$F$27*(K109+L109+N109)</f>
        <v>50112.27241871357</v>
      </c>
      <c r="Q109" s="193">
        <f t="shared" si="23"/>
        <v>619819.0531721485</v>
      </c>
      <c r="R109" s="130">
        <f>($I$41+$F$10*Sheet2!$G$24/365)*J109/24</f>
        <v>28825.125013010573</v>
      </c>
      <c r="S109" s="198">
        <f t="shared" si="21"/>
        <v>34190.56173033052</v>
      </c>
      <c r="T109" s="201">
        <f t="shared" si="22"/>
        <v>2.0953443636481204</v>
      </c>
      <c r="U109" s="201">
        <f t="shared" si="6"/>
        <v>0.21643901415224134</v>
      </c>
      <c r="V109" s="204">
        <f t="shared" si="28"/>
        <v>7.058823529411765</v>
      </c>
      <c r="W109" s="204">
        <f t="shared" si="29"/>
        <v>5.55</v>
      </c>
      <c r="X109" s="190">
        <f t="shared" si="18"/>
        <v>12.608823529411763</v>
      </c>
      <c r="Y109" s="210">
        <f t="shared" si="19"/>
        <v>1.7079999999999997</v>
      </c>
      <c r="Z109" s="10">
        <f t="shared" si="20"/>
        <v>-0.2717417979326224</v>
      </c>
    </row>
    <row r="110" spans="1:26" ht="13.5" thickBot="1">
      <c r="A110" s="203">
        <f t="shared" si="24"/>
        <v>484.8352941176471</v>
      </c>
      <c r="B110" s="10">
        <f t="shared" si="9"/>
        <v>-0.2821164846972884</v>
      </c>
      <c r="C110" s="11">
        <f t="shared" si="10"/>
        <v>711424.6101397711</v>
      </c>
      <c r="D110" s="187">
        <v>38</v>
      </c>
      <c r="E110" s="201">
        <f t="shared" si="11"/>
        <v>2.379216075577085</v>
      </c>
      <c r="F110" s="191">
        <f t="shared" si="12"/>
        <v>722</v>
      </c>
      <c r="G110">
        <f t="shared" si="13"/>
        <v>1.7698898408812729</v>
      </c>
      <c r="H110" s="130">
        <f t="shared" si="14"/>
        <v>268.2352941176471</v>
      </c>
      <c r="I110" s="130">
        <f t="shared" si="15"/>
        <v>216.6</v>
      </c>
      <c r="J110" s="197">
        <f t="shared" si="16"/>
        <v>12.758823529411764</v>
      </c>
      <c r="K110" s="196">
        <f t="shared" si="25"/>
        <v>113936.29411764705</v>
      </c>
      <c r="L110" s="194">
        <f t="shared" si="26"/>
        <v>33081.80248029229</v>
      </c>
      <c r="N110" s="127">
        <f t="shared" si="27"/>
        <v>132982.15341176474</v>
      </c>
      <c r="O110" s="127">
        <f>Sheet2!$G$24*0.5*D110/20*$F$10/365+(Sheet2!$G$24*0.5*D110/20*$F$10/365)*($F$10/$F$14*$I$32*2)/$I$39</f>
        <v>33908.604960234145</v>
      </c>
      <c r="P110" s="127">
        <f>Sheet2!$F$27*(K110+L110+N110)</f>
        <v>51730.815420748884</v>
      </c>
      <c r="Q110" s="193">
        <f t="shared" si="23"/>
        <v>647141.9380476542</v>
      </c>
      <c r="R110" s="130">
        <f>($I$41+$F$10*Sheet2!$G$24/365)*J110/24</f>
        <v>29168.041125831543</v>
      </c>
      <c r="S110" s="198">
        <f t="shared" si="21"/>
        <v>35114.630966285404</v>
      </c>
      <c r="T110" s="201">
        <f t="shared" si="22"/>
        <v>2.1300816332741754</v>
      </c>
      <c r="U110" s="201">
        <f t="shared" si="6"/>
        <v>0.214980427501049</v>
      </c>
      <c r="V110" s="204">
        <f t="shared" si="28"/>
        <v>7.058823529411765</v>
      </c>
      <c r="W110" s="204">
        <f t="shared" si="29"/>
        <v>5.7</v>
      </c>
      <c r="X110" s="190">
        <f t="shared" si="18"/>
        <v>12.758823529411766</v>
      </c>
      <c r="Y110" s="210">
        <f t="shared" si="19"/>
        <v>1.7079999999999997</v>
      </c>
      <c r="Z110" s="10">
        <f t="shared" si="20"/>
        <v>-0.2821164846972884</v>
      </c>
    </row>
    <row r="111" spans="1:26" ht="13.5" thickBot="1">
      <c r="A111" s="203">
        <f t="shared" si="24"/>
        <v>503.4441176470589</v>
      </c>
      <c r="B111" s="10">
        <f t="shared" si="9"/>
        <v>-0.29229080842120647</v>
      </c>
      <c r="C111" s="11">
        <f t="shared" si="10"/>
        <v>740643.1995473695</v>
      </c>
      <c r="D111" s="189">
        <v>39</v>
      </c>
      <c r="E111" s="201">
        <f t="shared" si="11"/>
        <v>2.413420682285766</v>
      </c>
      <c r="F111" s="191">
        <f t="shared" si="12"/>
        <v>760.5</v>
      </c>
      <c r="G111">
        <f t="shared" si="13"/>
        <v>1.7906976744186045</v>
      </c>
      <c r="H111" s="130">
        <f t="shared" si="14"/>
        <v>275.29411764705884</v>
      </c>
      <c r="I111" s="130">
        <f t="shared" si="15"/>
        <v>228.15</v>
      </c>
      <c r="J111" s="197">
        <f t="shared" si="16"/>
        <v>12.908823529411764</v>
      </c>
      <c r="K111" s="196">
        <f t="shared" si="25"/>
        <v>118309.36764705883</v>
      </c>
      <c r="L111" s="194">
        <f t="shared" si="26"/>
        <v>33952.37622977367</v>
      </c>
      <c r="N111" s="127">
        <f t="shared" si="27"/>
        <v>136574.34776470586</v>
      </c>
      <c r="O111" s="127">
        <f>Sheet2!$G$24*0.5*D111/20*$F$10/365+(Sheet2!$G$24*0.5*D111/20*$F$10/365)*($F$10/$F$14*$I$32*2)/$I$39</f>
        <v>34800.93666971399</v>
      </c>
      <c r="P111" s="127">
        <f>Sheet2!$F$27*(K111+L111+N111)</f>
        <v>53363.261436520464</v>
      </c>
      <c r="Q111" s="193">
        <f t="shared" si="23"/>
        <v>675093.5421064767</v>
      </c>
      <c r="R111" s="130">
        <f>($I$41+$F$10*Sheet2!$G$24/365)*J111/24</f>
        <v>29510.957238652525</v>
      </c>
      <c r="S111" s="198">
        <f t="shared" si="21"/>
        <v>36038.70020224028</v>
      </c>
      <c r="T111" s="201">
        <f t="shared" si="22"/>
        <v>2.1650526300454223</v>
      </c>
      <c r="U111" s="201">
        <f>(R111+S111)/($F$10*$F$18*100*D111)*($F$9*$F$10/$F$11)+(2*(R111+S111)/($F$18*$F$10*100*D111))</f>
        <v>0.2135966401653024</v>
      </c>
      <c r="V111" s="204">
        <f t="shared" si="28"/>
        <v>7.058823529411765</v>
      </c>
      <c r="W111" s="204">
        <f t="shared" si="29"/>
        <v>5.8500000000000005</v>
      </c>
      <c r="X111" s="190">
        <f>A111/D111</f>
        <v>12.908823529411766</v>
      </c>
      <c r="Y111" s="210">
        <f t="shared" si="19"/>
        <v>1.7079999999999997</v>
      </c>
      <c r="Z111" s="10">
        <f t="shared" si="20"/>
        <v>-0.29229080842120647</v>
      </c>
    </row>
    <row r="112" spans="1:26" ht="13.5" thickBot="1">
      <c r="A112" s="203">
        <f t="shared" si="24"/>
        <v>522.3529411764706</v>
      </c>
      <c r="B112" s="10">
        <f t="shared" si="9"/>
        <v>-0.3022676967664309</v>
      </c>
      <c r="C112" s="11">
        <f t="shared" si="10"/>
        <v>770496.0735063399</v>
      </c>
      <c r="D112" s="187">
        <v>40</v>
      </c>
      <c r="E112" s="201">
        <f t="shared" si="11"/>
        <v>2.4479302335357676</v>
      </c>
      <c r="F112" s="191">
        <f t="shared" si="12"/>
        <v>800</v>
      </c>
      <c r="G112">
        <f t="shared" si="13"/>
        <v>1.8115055079559363</v>
      </c>
      <c r="H112" s="130">
        <f t="shared" si="14"/>
        <v>282.3529411764706</v>
      </c>
      <c r="I112" s="130">
        <f t="shared" si="15"/>
        <v>240</v>
      </c>
      <c r="J112" s="197">
        <f t="shared" si="16"/>
        <v>13.058823529411764</v>
      </c>
      <c r="K112" s="196">
        <f t="shared" si="25"/>
        <v>122752.94117647059</v>
      </c>
      <c r="L112" s="194">
        <f t="shared" si="26"/>
        <v>34822.94997925504</v>
      </c>
      <c r="N112" s="127">
        <f t="shared" si="27"/>
        <v>140171.29411764708</v>
      </c>
      <c r="O112" s="127">
        <f>Sheet2!$G$24*0.5*D112/20*$F$10/365+(Sheet2!$G$24*0.5*D112/20*$F$10/365)*($F$10/$F$14*$I$32*2)/$I$39</f>
        <v>35693.26837919385</v>
      </c>
      <c r="P112" s="127">
        <f>Sheet2!$F$27*(K112+L112+N112)</f>
        <v>55009.61046602832</v>
      </c>
      <c r="Q112" s="193">
        <f t="shared" si="23"/>
        <v>703679.4307166713</v>
      </c>
      <c r="R112" s="130">
        <f>($I$41+$F$10*Sheet2!$G$24/365)*J112/24</f>
        <v>29853.873351473507</v>
      </c>
      <c r="S112" s="198">
        <f aca="true" t="shared" si="30" ref="S112:S133">($I$42/25/365)*D112/10</f>
        <v>36962.76943819516</v>
      </c>
      <c r="T112" s="201">
        <f aca="true" t="shared" si="31" ref="T112:T133">Q112/($F$10*$F$18*100*D112)*($F$9*$F$10/$F$11)+(2*$C$73)/($F$18*$F$10*100*D112)</f>
        <v>2.200257216201145</v>
      </c>
      <c r="U112" s="201">
        <f aca="true" t="shared" si="32" ref="U112:U133">(R112+S112)/($F$10*$F$18*100*D112)*($F$9*$F$10/$F$11)+(2*(R112+S112)/($F$18*$F$10*100*D112))</f>
        <v>0.21228204219634317</v>
      </c>
      <c r="V112" s="204">
        <f t="shared" si="28"/>
        <v>7.058823529411765</v>
      </c>
      <c r="W112" s="204">
        <f t="shared" si="29"/>
        <v>6</v>
      </c>
      <c r="X112" s="190">
        <f aca="true" t="shared" si="33" ref="X112:X133">A112/D112</f>
        <v>13.058823529411764</v>
      </c>
      <c r="Y112" s="210">
        <f t="shared" si="19"/>
        <v>1.7079999999999997</v>
      </c>
      <c r="Z112" s="10">
        <f t="shared" si="20"/>
        <v>-0.3022676967664309</v>
      </c>
    </row>
    <row r="113" spans="1:26" ht="13.5" thickBot="1">
      <c r="A113" s="203">
        <f t="shared" si="24"/>
        <v>541.5617647058823</v>
      </c>
      <c r="B113" s="10">
        <f t="shared" si="9"/>
        <v>-0.31205030357581776</v>
      </c>
      <c r="C113" s="11">
        <f t="shared" si="10"/>
        <v>800988.797384736</v>
      </c>
      <c r="D113" s="187">
        <v>41</v>
      </c>
      <c r="E113" s="201">
        <f t="shared" si="11"/>
        <v>2.4827396666904926</v>
      </c>
      <c r="F113" s="191">
        <f t="shared" si="12"/>
        <v>840.5</v>
      </c>
      <c r="G113">
        <f t="shared" si="13"/>
        <v>1.832313341493268</v>
      </c>
      <c r="H113" s="130">
        <f aca="true" t="shared" si="34" ref="H113:H133">($F$10/$F$12)*D113</f>
        <v>289.4117647058823</v>
      </c>
      <c r="I113" s="130">
        <f aca="true" t="shared" si="35" ref="I113:I133">F113*$F$13/60</f>
        <v>252.15</v>
      </c>
      <c r="J113" s="197">
        <f aca="true" t="shared" si="36" ref="J113:J133">($F$10/$F$12+($F$13*(D113/2))/60)</f>
        <v>13.208823529411765</v>
      </c>
      <c r="K113" s="196">
        <f t="shared" si="25"/>
        <v>127267.01470588235</v>
      </c>
      <c r="L113" s="194">
        <f t="shared" si="26"/>
        <v>35693.523728736414</v>
      </c>
      <c r="N113" s="127">
        <f t="shared" si="27"/>
        <v>143772.99247058821</v>
      </c>
      <c r="O113" s="127">
        <f>Sheet2!$G$24*0.5*D113/20*$F$10/365+(Sheet2!$G$24*0.5*D113/20*$F$10/365)*($F$10/$F$14*$I$32*2)/$I$39</f>
        <v>36585.600088673695</v>
      </c>
      <c r="P113" s="127">
        <f>Sheet2!$F$27*(K113+L113+N113)</f>
        <v>56669.86250927244</v>
      </c>
      <c r="Q113" s="193">
        <f t="shared" si="23"/>
        <v>732905.1692462915</v>
      </c>
      <c r="R113" s="130">
        <f>($I$41+$F$10*Sheet2!$G$24/365)*J113/24</f>
        <v>30196.78946429449</v>
      </c>
      <c r="S113" s="198">
        <f t="shared" si="30"/>
        <v>37886.838674150036</v>
      </c>
      <c r="T113" s="201">
        <f t="shared" si="31"/>
        <v>2.2356952674206907</v>
      </c>
      <c r="U113" s="201">
        <f t="shared" si="32"/>
        <v>0.21103157095757705</v>
      </c>
      <c r="V113" s="204">
        <f t="shared" si="28"/>
        <v>7.058823529411764</v>
      </c>
      <c r="W113" s="204">
        <f t="shared" si="29"/>
        <v>6.15</v>
      </c>
      <c r="X113" s="190">
        <f t="shared" si="33"/>
        <v>13.208823529411763</v>
      </c>
      <c r="Y113" s="210">
        <f t="shared" si="19"/>
        <v>1.7079999999999997</v>
      </c>
      <c r="Z113" s="10">
        <f t="shared" si="20"/>
        <v>-0.31205030357581776</v>
      </c>
    </row>
    <row r="114" spans="1:26" ht="13.5" thickBot="1">
      <c r="A114" s="203">
        <f t="shared" si="24"/>
        <v>561.070588235294</v>
      </c>
      <c r="B114" s="10">
        <f t="shared" si="9"/>
        <v>-0.3216419572476295</v>
      </c>
      <c r="C114" s="11">
        <f t="shared" si="10"/>
        <v>832126.936550613</v>
      </c>
      <c r="D114" s="187">
        <v>42</v>
      </c>
      <c r="E114" s="201">
        <f t="shared" si="11"/>
        <v>2.5178444012692163</v>
      </c>
      <c r="F114" s="191">
        <f t="shared" si="12"/>
        <v>882</v>
      </c>
      <c r="G114">
        <f t="shared" si="13"/>
        <v>1.8531211750305998</v>
      </c>
      <c r="H114" s="130">
        <f t="shared" si="34"/>
        <v>296.4705882352941</v>
      </c>
      <c r="I114" s="130">
        <f t="shared" si="35"/>
        <v>264.6</v>
      </c>
      <c r="J114" s="197">
        <f t="shared" si="36"/>
        <v>13.358823529411765</v>
      </c>
      <c r="K114" s="196">
        <f t="shared" si="25"/>
        <v>131851.5882352941</v>
      </c>
      <c r="L114" s="194">
        <f t="shared" si="26"/>
        <v>36564.097478217795</v>
      </c>
      <c r="N114" s="127">
        <f t="shared" si="27"/>
        <v>147379.44282352942</v>
      </c>
      <c r="O114" s="127">
        <f>Sheet2!$G$24*0.5*D114/20*$F$10/365+(Sheet2!$G$24*0.5*D114/20*$F$10/365)*($F$10/$F$14*$I$32*2)/$I$39</f>
        <v>37477.931798153535</v>
      </c>
      <c r="P114" s="127">
        <f>Sheet2!$F$27*(K114+L114+N114)</f>
        <v>58344.01756625282</v>
      </c>
      <c r="Q114" s="193">
        <f t="shared" si="23"/>
        <v>762776.3230633927</v>
      </c>
      <c r="R114" s="130">
        <f>($I$41+$F$10*Sheet2!$G$24/365)*J114/24</f>
        <v>30539.705577115466</v>
      </c>
      <c r="S114" s="198">
        <f t="shared" si="30"/>
        <v>38810.907910104914</v>
      </c>
      <c r="T114" s="201">
        <f t="shared" si="31"/>
        <v>2.2713666712234755</v>
      </c>
      <c r="U114" s="201">
        <f t="shared" si="32"/>
        <v>0.20984064596827595</v>
      </c>
      <c r="V114" s="204">
        <f t="shared" si="28"/>
        <v>7.058823529411764</v>
      </c>
      <c r="W114" s="204">
        <f t="shared" si="29"/>
        <v>6.300000000000001</v>
      </c>
      <c r="X114" s="190">
        <f t="shared" si="33"/>
        <v>13.358823529411763</v>
      </c>
      <c r="Y114" s="210">
        <f t="shared" si="19"/>
        <v>1.7079999999999997</v>
      </c>
      <c r="Z114" s="10">
        <f t="shared" si="20"/>
        <v>-0.3216419572476295</v>
      </c>
    </row>
    <row r="115" spans="1:26" ht="13.5" thickBot="1">
      <c r="A115" s="203">
        <f t="shared" si="24"/>
        <v>580.8794117647059</v>
      </c>
      <c r="B115" s="10">
        <f t="shared" si="9"/>
        <v>-0.33104611757426083</v>
      </c>
      <c r="C115" s="11">
        <f t="shared" si="10"/>
        <v>863916.056372025</v>
      </c>
      <c r="D115" s="189">
        <v>43</v>
      </c>
      <c r="E115" s="201">
        <f t="shared" si="11"/>
        <v>2.5532402828824385</v>
      </c>
      <c r="F115" s="191">
        <f t="shared" si="12"/>
        <v>924.5</v>
      </c>
      <c r="G115">
        <f t="shared" si="13"/>
        <v>1.8739290085679312</v>
      </c>
      <c r="H115" s="130">
        <f t="shared" si="34"/>
        <v>303.52941176470586</v>
      </c>
      <c r="I115" s="130">
        <f t="shared" si="35"/>
        <v>277.35</v>
      </c>
      <c r="J115" s="197">
        <f t="shared" si="36"/>
        <v>13.508823529411764</v>
      </c>
      <c r="K115" s="196">
        <f t="shared" si="25"/>
        <v>136506.66176470587</v>
      </c>
      <c r="L115" s="194">
        <f t="shared" si="26"/>
        <v>37434.67122769917</v>
      </c>
      <c r="N115" s="127">
        <f t="shared" si="27"/>
        <v>150990.6451764706</v>
      </c>
      <c r="O115" s="127">
        <f>Sheet2!$G$24*0.5*D115/20*$F$10/365+(Sheet2!$G$24*0.5*D115/20*$F$10/365)*($F$10/$F$14*$I$32*2)/$I$39</f>
        <v>38370.26350763338</v>
      </c>
      <c r="P115" s="127">
        <f>Sheet2!$F$27*(K115+L115+N115)</f>
        <v>60032.07563696947</v>
      </c>
      <c r="Q115" s="193">
        <f t="shared" si="23"/>
        <v>793298.4575360288</v>
      </c>
      <c r="R115" s="130">
        <f>($I$41+$F$10*Sheet2!$G$24/365)*J115/24</f>
        <v>30882.62168993644</v>
      </c>
      <c r="S115" s="198">
        <f t="shared" si="30"/>
        <v>39734.9771460598</v>
      </c>
      <c r="T115" s="201">
        <f t="shared" si="31"/>
        <v>2.307271325592221</v>
      </c>
      <c r="U115" s="201">
        <f t="shared" si="32"/>
        <v>0.20870511283894236</v>
      </c>
      <c r="V115" s="204">
        <f t="shared" si="28"/>
        <v>7.0588235294117645</v>
      </c>
      <c r="W115" s="204">
        <f t="shared" si="29"/>
        <v>6.45</v>
      </c>
      <c r="X115" s="190">
        <f t="shared" si="33"/>
        <v>13.508823529411764</v>
      </c>
      <c r="Y115" s="210">
        <f t="shared" si="19"/>
        <v>1.7079999999999997</v>
      </c>
      <c r="Z115" s="10">
        <f t="shared" si="20"/>
        <v>-0.33104611757426083</v>
      </c>
    </row>
    <row r="116" spans="1:26" ht="13.5" thickBot="1">
      <c r="A116" s="203">
        <f t="shared" si="24"/>
        <v>600.9882352941177</v>
      </c>
      <c r="B116" s="10">
        <f t="shared" si="9"/>
        <v>-0.34026633964539155</v>
      </c>
      <c r="C116" s="11">
        <f t="shared" si="10"/>
        <v>896361.722217027</v>
      </c>
      <c r="D116" s="187">
        <v>44</v>
      </c>
      <c r="E116" s="201">
        <f t="shared" si="11"/>
        <v>2.5889235348124355</v>
      </c>
      <c r="F116" s="191">
        <f t="shared" si="12"/>
        <v>968</v>
      </c>
      <c r="G116">
        <f t="shared" si="13"/>
        <v>1.894736842105263</v>
      </c>
      <c r="H116" s="130">
        <f t="shared" si="34"/>
        <v>310.5882352941176</v>
      </c>
      <c r="I116" s="130">
        <f t="shared" si="35"/>
        <v>290.4</v>
      </c>
      <c r="J116" s="197">
        <f t="shared" si="36"/>
        <v>13.658823529411764</v>
      </c>
      <c r="K116" s="196">
        <f t="shared" si="25"/>
        <v>141232.23529411765</v>
      </c>
      <c r="L116" s="194">
        <f t="shared" si="26"/>
        <v>38305.24497718055</v>
      </c>
      <c r="N116" s="127">
        <f t="shared" si="27"/>
        <v>154606.59952941173</v>
      </c>
      <c r="O116" s="127">
        <f>Sheet2!$G$24*0.5*D116/20*$F$10/365+(Sheet2!$G$24*0.5*D116/20*$F$10/365)*($F$10/$F$14*$I$32*2)/$I$39</f>
        <v>39262.59521711324</v>
      </c>
      <c r="P116" s="127">
        <f>Sheet2!$F$27*(K116+L116+N116)</f>
        <v>61734.03672142237</v>
      </c>
      <c r="Q116" s="193">
        <f t="shared" si="23"/>
        <v>824477.1380322549</v>
      </c>
      <c r="R116" s="130">
        <f>($I$41+$F$10*Sheet2!$G$24/365)*J116/24</f>
        <v>31225.537802757422</v>
      </c>
      <c r="S116" s="198">
        <f t="shared" si="30"/>
        <v>40659.046382014676</v>
      </c>
      <c r="T116" s="201">
        <f t="shared" si="31"/>
        <v>2.343409137783949</v>
      </c>
      <c r="U116" s="201">
        <f t="shared" si="32"/>
        <v>0.2076211948518512</v>
      </c>
      <c r="V116" s="204">
        <f t="shared" si="28"/>
        <v>7.0588235294117645</v>
      </c>
      <c r="W116" s="204">
        <f t="shared" si="29"/>
        <v>6.6</v>
      </c>
      <c r="X116" s="190">
        <f t="shared" si="33"/>
        <v>13.658823529411764</v>
      </c>
      <c r="Y116" s="210">
        <f t="shared" si="19"/>
        <v>1.7079999999999997</v>
      </c>
      <c r="Z116" s="10">
        <f t="shared" si="20"/>
        <v>-0.34026633964539155</v>
      </c>
    </row>
    <row r="117" spans="1:26" ht="13.5" thickBot="1">
      <c r="A117" s="203">
        <f t="shared" si="24"/>
        <v>621.3970588235294</v>
      </c>
      <c r="B117" s="10">
        <f t="shared" si="9"/>
        <v>-0.3493062436631953</v>
      </c>
      <c r="C117" s="11">
        <f t="shared" si="10"/>
        <v>929469.4994536727</v>
      </c>
      <c r="D117" s="187">
        <v>45</v>
      </c>
      <c r="E117" s="201">
        <f t="shared" si="11"/>
        <v>2.6248907160497237</v>
      </c>
      <c r="F117" s="191">
        <f t="shared" si="12"/>
        <v>1012.5</v>
      </c>
      <c r="G117">
        <f t="shared" si="13"/>
        <v>1.915544675642595</v>
      </c>
      <c r="H117" s="130">
        <f t="shared" si="34"/>
        <v>317.6470588235294</v>
      </c>
      <c r="I117" s="130">
        <f t="shared" si="35"/>
        <v>303.75</v>
      </c>
      <c r="J117" s="197">
        <f t="shared" si="36"/>
        <v>13.808823529411764</v>
      </c>
      <c r="K117" s="196">
        <f t="shared" si="25"/>
        <v>146028.3088235294</v>
      </c>
      <c r="L117" s="194">
        <f t="shared" si="26"/>
        <v>39175.81872666192</v>
      </c>
      <c r="N117" s="127">
        <f t="shared" si="27"/>
        <v>158227.30588235293</v>
      </c>
      <c r="O117" s="127">
        <f>Sheet2!$G$24*0.5*D117/20*$F$10/365+(Sheet2!$G$24*0.5*D117/20*$F$10/365)*($F$10/$F$14*$I$32*2)/$I$39</f>
        <v>40154.92692659308</v>
      </c>
      <c r="P117" s="127">
        <f>Sheet2!$F$27*(K117+L117+N117)</f>
        <v>63449.90081961153</v>
      </c>
      <c r="Q117" s="193">
        <f t="shared" si="23"/>
        <v>856317.9299201247</v>
      </c>
      <c r="R117" s="130">
        <f>($I$41+$F$10*Sheet2!$G$24/365)*J117/24</f>
        <v>31568.453915578404</v>
      </c>
      <c r="S117" s="198">
        <f t="shared" si="30"/>
        <v>41583.11561796955</v>
      </c>
      <c r="T117" s="201">
        <f t="shared" si="31"/>
        <v>2.3797800232994994</v>
      </c>
      <c r="U117" s="201">
        <f t="shared" si="32"/>
        <v>0.20658545099751968</v>
      </c>
      <c r="V117" s="204">
        <f t="shared" si="28"/>
        <v>7.0588235294117645</v>
      </c>
      <c r="W117" s="204">
        <f t="shared" si="29"/>
        <v>6.75</v>
      </c>
      <c r="X117" s="190">
        <f t="shared" si="33"/>
        <v>13.808823529411764</v>
      </c>
      <c r="Y117" s="210">
        <f t="shared" si="19"/>
        <v>1.7079999999999997</v>
      </c>
      <c r="Z117" s="10">
        <f t="shared" si="20"/>
        <v>-0.3493062436631953</v>
      </c>
    </row>
    <row r="118" spans="1:26" ht="13.5" thickBot="1">
      <c r="A118" s="203">
        <f t="shared" si="24"/>
        <v>642.1058823529411</v>
      </c>
      <c r="B118" s="10">
        <f t="shared" si="9"/>
        <v>-0.35816948971736257</v>
      </c>
      <c r="C118" s="11">
        <f t="shared" si="10"/>
        <v>963244.9534500174</v>
      </c>
      <c r="D118" s="187">
        <v>46</v>
      </c>
      <c r="E118" s="201">
        <f t="shared" si="11"/>
        <v>2.6611386848030367</v>
      </c>
      <c r="F118" s="191">
        <f t="shared" si="12"/>
        <v>1058</v>
      </c>
      <c r="G118">
        <f t="shared" si="13"/>
        <v>1.9363525091799265</v>
      </c>
      <c r="H118" s="130">
        <f t="shared" si="34"/>
        <v>324.70588235294116</v>
      </c>
      <c r="I118" s="130">
        <f t="shared" si="35"/>
        <v>317.4</v>
      </c>
      <c r="J118" s="197">
        <f t="shared" si="36"/>
        <v>13.958823529411765</v>
      </c>
      <c r="K118" s="196">
        <f t="shared" si="25"/>
        <v>150894.88235294115</v>
      </c>
      <c r="L118" s="194">
        <f t="shared" si="26"/>
        <v>40046.39247614329</v>
      </c>
      <c r="N118" s="127">
        <f t="shared" si="27"/>
        <v>161852.7642352941</v>
      </c>
      <c r="O118" s="127">
        <f>Sheet2!$G$24*0.5*D118/20*$F$10/365+(Sheet2!$G$24*0.5*D118/20*$F$10/365)*($F$10/$F$14*$I$32*2)/$I$39</f>
        <v>41047.258636072926</v>
      </c>
      <c r="P118" s="127">
        <f>Sheet2!$F$27*(K118+L118+N118)</f>
        <v>65179.66793153696</v>
      </c>
      <c r="Q118" s="193">
        <f t="shared" si="23"/>
        <v>888826.3985676935</v>
      </c>
      <c r="R118" s="130">
        <f>($I$41+$F$10*Sheet2!$G$24/365)*J118/24</f>
        <v>31911.370028399382</v>
      </c>
      <c r="S118" s="198">
        <f t="shared" si="30"/>
        <v>42507.18485392443</v>
      </c>
      <c r="T118" s="201">
        <f t="shared" si="31"/>
        <v>2.416383904987469</v>
      </c>
      <c r="U118" s="201">
        <f t="shared" si="32"/>
        <v>0.20559473948468082</v>
      </c>
      <c r="V118" s="204">
        <f t="shared" si="28"/>
        <v>7.0588235294117645</v>
      </c>
      <c r="W118" s="204">
        <f t="shared" si="29"/>
        <v>6.8999999999999995</v>
      </c>
      <c r="X118" s="190">
        <f t="shared" si="33"/>
        <v>13.958823529411763</v>
      </c>
      <c r="Y118" s="210">
        <f t="shared" si="19"/>
        <v>1.7079999999999997</v>
      </c>
      <c r="Z118" s="10">
        <f t="shared" si="20"/>
        <v>-0.35816948971736257</v>
      </c>
    </row>
    <row r="119" spans="1:26" ht="13.5" thickBot="1">
      <c r="A119" s="203">
        <f t="shared" si="24"/>
        <v>663.114705882353</v>
      </c>
      <c r="B119" s="10">
        <f t="shared" si="9"/>
        <v>-0.3668597567302905</v>
      </c>
      <c r="C119" s="11">
        <f t="shared" si="10"/>
        <v>997693.6495741156</v>
      </c>
      <c r="D119" s="187">
        <v>47</v>
      </c>
      <c r="E119" s="201">
        <f t="shared" si="11"/>
        <v>2.6976645666676</v>
      </c>
      <c r="F119" s="191">
        <f t="shared" si="12"/>
        <v>1104.5</v>
      </c>
      <c r="G119">
        <f t="shared" si="13"/>
        <v>1.9571603427172584</v>
      </c>
      <c r="H119" s="130">
        <f t="shared" si="34"/>
        <v>331.7647058823529</v>
      </c>
      <c r="I119" s="130">
        <f t="shared" si="35"/>
        <v>331.35</v>
      </c>
      <c r="J119" s="197">
        <f t="shared" si="36"/>
        <v>14.108823529411765</v>
      </c>
      <c r="K119" s="196">
        <f t="shared" si="25"/>
        <v>155831.95588235292</v>
      </c>
      <c r="L119" s="194">
        <f t="shared" si="26"/>
        <v>40916.966225624674</v>
      </c>
      <c r="N119" s="127">
        <f t="shared" si="27"/>
        <v>165482.9745882353</v>
      </c>
      <c r="O119" s="127">
        <f>Sheet2!$G$24*0.5*D119/20*$F$10/365+(Sheet2!$G$24*0.5*D119/20*$F$10/365)*($F$10/$F$14*$I$32*2)/$I$39</f>
        <v>41939.590345552766</v>
      </c>
      <c r="P119" s="127">
        <f>Sheet2!$F$27*(K119+L119+N119)</f>
        <v>66923.33805719866</v>
      </c>
      <c r="Q119" s="193">
        <f t="shared" si="23"/>
        <v>922008.1093430159</v>
      </c>
      <c r="R119" s="130">
        <f>($I$41+$F$10*Sheet2!$G$24/365)*J119/24</f>
        <v>32254.286141220364</v>
      </c>
      <c r="S119" s="198">
        <f t="shared" si="30"/>
        <v>43431.254089879316</v>
      </c>
      <c r="T119" s="201">
        <f t="shared" si="31"/>
        <v>2.4532207122625294</v>
      </c>
      <c r="U119" s="201">
        <f t="shared" si="32"/>
        <v>0.20464618590855851</v>
      </c>
      <c r="V119" s="204">
        <f t="shared" si="28"/>
        <v>7.0588235294117645</v>
      </c>
      <c r="W119" s="204">
        <f t="shared" si="29"/>
        <v>7.050000000000001</v>
      </c>
      <c r="X119" s="190">
        <f t="shared" si="33"/>
        <v>14.108823529411765</v>
      </c>
      <c r="Y119" s="210">
        <f t="shared" si="19"/>
        <v>1.7079999999999997</v>
      </c>
      <c r="Z119" s="10">
        <f t="shared" si="20"/>
        <v>-0.3668597567302905</v>
      </c>
    </row>
    <row r="120" spans="1:26" ht="13.5" thickBot="1">
      <c r="A120" s="203">
        <f t="shared" si="24"/>
        <v>684.4235294117648</v>
      </c>
      <c r="B120" s="10">
        <f t="shared" si="9"/>
        <v>-0.3753807249154876</v>
      </c>
      <c r="C120" s="11">
        <f t="shared" si="10"/>
        <v>1032821.1531940214</v>
      </c>
      <c r="D120" s="187">
        <v>48</v>
      </c>
      <c r="E120" s="201">
        <f t="shared" si="11"/>
        <v>2.734465726772366</v>
      </c>
      <c r="F120" s="191">
        <f t="shared" si="12"/>
        <v>1152</v>
      </c>
      <c r="G120">
        <f t="shared" si="13"/>
        <v>1.9779681762545898</v>
      </c>
      <c r="H120" s="130">
        <f t="shared" si="34"/>
        <v>338.8235294117647</v>
      </c>
      <c r="I120" s="130">
        <f t="shared" si="35"/>
        <v>345.6</v>
      </c>
      <c r="J120" s="197">
        <f t="shared" si="36"/>
        <v>14.258823529411764</v>
      </c>
      <c r="K120" s="196">
        <f t="shared" si="25"/>
        <v>160839.52941176473</v>
      </c>
      <c r="L120" s="194">
        <f t="shared" si="26"/>
        <v>41787.53997510605</v>
      </c>
      <c r="N120" s="127">
        <f t="shared" si="27"/>
        <v>169117.93694117648</v>
      </c>
      <c r="O120" s="127">
        <f>Sheet2!$G$24*0.5*D120/20*$F$10/365+(Sheet2!$G$24*0.5*D120/20*$F$10/365)*($F$10/$F$14*$I$32*2)/$I$39</f>
        <v>42831.922055032606</v>
      </c>
      <c r="P120" s="127">
        <f>Sheet2!$F$27*(K120+L120+N120)</f>
        <v>68680.91119659663</v>
      </c>
      <c r="Q120" s="193">
        <f t="shared" si="23"/>
        <v>955868.6276141459</v>
      </c>
      <c r="R120" s="130">
        <f>($I$41+$F$10*Sheet2!$G$24/365)*J120/24</f>
        <v>32597.20225404134</v>
      </c>
      <c r="S120" s="198">
        <f t="shared" si="30"/>
        <v>44355.32332583419</v>
      </c>
      <c r="T120" s="201">
        <f t="shared" si="31"/>
        <v>2.490290380421461</v>
      </c>
      <c r="U120" s="201">
        <f t="shared" si="32"/>
        <v>0.203737155398108</v>
      </c>
      <c r="V120" s="204">
        <f t="shared" si="28"/>
        <v>7.0588235294117645</v>
      </c>
      <c r="W120" s="204">
        <f t="shared" si="29"/>
        <v>7.2</v>
      </c>
      <c r="X120" s="190">
        <f t="shared" si="33"/>
        <v>14.258823529411766</v>
      </c>
      <c r="Y120" s="210">
        <f t="shared" si="19"/>
        <v>1.7079999999999997</v>
      </c>
      <c r="Z120" s="10">
        <f t="shared" si="20"/>
        <v>-0.3753807249154876</v>
      </c>
    </row>
    <row r="121" spans="1:26" ht="13.5" thickBot="1">
      <c r="A121" s="203">
        <f t="shared" si="24"/>
        <v>706.0323529411764</v>
      </c>
      <c r="B121" s="10">
        <f t="shared" si="9"/>
        <v>-0.3837360612009469</v>
      </c>
      <c r="C121" s="11">
        <f t="shared" si="10"/>
        <v>1068633.0296777894</v>
      </c>
      <c r="D121" s="189">
        <v>49</v>
      </c>
      <c r="E121" s="201">
        <f t="shared" si="11"/>
        <v>2.771539745337804</v>
      </c>
      <c r="F121" s="191">
        <f t="shared" si="12"/>
        <v>1200.5</v>
      </c>
      <c r="G121">
        <f t="shared" si="13"/>
        <v>1.9987760097919216</v>
      </c>
      <c r="H121" s="130">
        <f t="shared" si="34"/>
        <v>345.88235294117646</v>
      </c>
      <c r="I121" s="130">
        <f t="shared" si="35"/>
        <v>360.15</v>
      </c>
      <c r="J121" s="197">
        <f t="shared" si="36"/>
        <v>14.408823529411764</v>
      </c>
      <c r="K121" s="196">
        <f t="shared" si="25"/>
        <v>165917.60294117645</v>
      </c>
      <c r="L121" s="194">
        <f t="shared" si="26"/>
        <v>42658.11372458743</v>
      </c>
      <c r="N121" s="127">
        <f t="shared" si="27"/>
        <v>172757.65129411765</v>
      </c>
      <c r="O121" s="127">
        <f>Sheet2!$G$24*0.5*D121/20*$F$10/365+(Sheet2!$G$24*0.5*D121/20*$F$10/365)*($F$10/$F$14*$I$32*2)/$I$39</f>
        <v>43724.253764512454</v>
      </c>
      <c r="P121" s="127">
        <f>Sheet2!$F$27*(K121+L121+N121)</f>
        <v>70452.38734973085</v>
      </c>
      <c r="Q121" s="193">
        <f t="shared" si="23"/>
        <v>990413.5187491381</v>
      </c>
      <c r="R121" s="130">
        <f>($I$41+$F$10*Sheet2!$G$24/365)*J121/24</f>
        <v>32940.11836686232</v>
      </c>
      <c r="S121" s="198">
        <f t="shared" si="30"/>
        <v>45279.39256178906</v>
      </c>
      <c r="T121" s="201">
        <f t="shared" si="31"/>
        <v>2.527592850042942</v>
      </c>
      <c r="U121" s="201">
        <f t="shared" si="32"/>
        <v>0.2028652281737982</v>
      </c>
      <c r="V121" s="204">
        <f t="shared" si="28"/>
        <v>7.0588235294117645</v>
      </c>
      <c r="W121" s="204">
        <f t="shared" si="29"/>
        <v>7.35</v>
      </c>
      <c r="X121" s="190">
        <f t="shared" si="33"/>
        <v>14.408823529411764</v>
      </c>
      <c r="Y121" s="210">
        <f t="shared" si="19"/>
        <v>1.7079999999999997</v>
      </c>
      <c r="Z121" s="10">
        <f t="shared" si="20"/>
        <v>-0.3837360612009469</v>
      </c>
    </row>
    <row r="122" spans="1:26" ht="13.5" thickBot="1">
      <c r="A122" s="203">
        <f t="shared" si="24"/>
        <v>727.9411764705883</v>
      </c>
      <c r="B122" s="10">
        <f t="shared" si="9"/>
        <v>-0.3919294071586259</v>
      </c>
      <c r="C122" s="11">
        <f t="shared" si="10"/>
        <v>1105134.8443934747</v>
      </c>
      <c r="D122" s="187">
        <v>50</v>
      </c>
      <c r="E122" s="201">
        <f t="shared" si="11"/>
        <v>2.8088843961667482</v>
      </c>
      <c r="F122" s="191">
        <f t="shared" si="12"/>
        <v>1250</v>
      </c>
      <c r="G122">
        <f t="shared" si="13"/>
        <v>2.0195838433292534</v>
      </c>
      <c r="H122" s="130">
        <f t="shared" si="34"/>
        <v>352.94117647058823</v>
      </c>
      <c r="I122" s="130">
        <f t="shared" si="35"/>
        <v>375</v>
      </c>
      <c r="J122" s="197">
        <f t="shared" si="36"/>
        <v>14.558823529411764</v>
      </c>
      <c r="K122" s="196">
        <f t="shared" si="25"/>
        <v>171066.17647058825</v>
      </c>
      <c r="L122" s="194">
        <f t="shared" si="26"/>
        <v>43528.68747406881</v>
      </c>
      <c r="N122" s="127">
        <f t="shared" si="27"/>
        <v>176402.11764705883</v>
      </c>
      <c r="O122" s="127">
        <f>Sheet2!$G$24*0.5*D122/20*$F$10/365+(Sheet2!$G$24*0.5*D122/20*$F$10/365)*($F$10/$F$14*$I$32*2)/$I$39</f>
        <v>44616.585473992294</v>
      </c>
      <c r="P122" s="127">
        <f>Sheet2!$F$27*(K122+L122+N122)</f>
        <v>72237.76651660135</v>
      </c>
      <c r="Q122" s="193">
        <f t="shared" si="23"/>
        <v>1025648.3481160474</v>
      </c>
      <c r="R122" s="130">
        <f>($I$41+$F$10*Sheet2!$G$24/365)*J122/24</f>
        <v>33283.0344796833</v>
      </c>
      <c r="S122" s="198">
        <f t="shared" si="30"/>
        <v>46203.46179774395</v>
      </c>
      <c r="T122" s="201">
        <f t="shared" si="31"/>
        <v>2.5651280664593563</v>
      </c>
      <c r="U122" s="201">
        <f t="shared" si="32"/>
        <v>0.2020281780384609</v>
      </c>
      <c r="V122" s="204">
        <f t="shared" si="28"/>
        <v>7.0588235294117645</v>
      </c>
      <c r="W122" s="204">
        <f t="shared" si="29"/>
        <v>7.5</v>
      </c>
      <c r="X122" s="190">
        <f t="shared" si="33"/>
        <v>14.558823529411766</v>
      </c>
      <c r="Y122" s="210">
        <f t="shared" si="19"/>
        <v>1.7079999999999997</v>
      </c>
      <c r="Z122" s="10">
        <f t="shared" si="20"/>
        <v>-0.3919294071586259</v>
      </c>
    </row>
    <row r="123" spans="1:26" ht="13.5" thickBot="1">
      <c r="A123" s="203">
        <f t="shared" si="24"/>
        <v>750.15</v>
      </c>
      <c r="B123" s="10">
        <f t="shared" si="9"/>
        <v>-0.3999643690549474</v>
      </c>
      <c r="C123" s="11">
        <f t="shared" si="10"/>
        <v>1142332.1627091311</v>
      </c>
      <c r="D123" s="187">
        <v>51</v>
      </c>
      <c r="E123" s="201">
        <f t="shared" si="11"/>
        <v>2.846497627665727</v>
      </c>
      <c r="F123" s="191">
        <f t="shared" si="12"/>
        <v>1300.5</v>
      </c>
      <c r="G123">
        <f t="shared" si="13"/>
        <v>2.040391676866585</v>
      </c>
      <c r="H123" s="130">
        <f t="shared" si="34"/>
        <v>360</v>
      </c>
      <c r="I123" s="130">
        <f t="shared" si="35"/>
        <v>390.15</v>
      </c>
      <c r="J123" s="197">
        <f t="shared" si="36"/>
        <v>14.708823529411765</v>
      </c>
      <c r="K123" s="196">
        <f t="shared" si="25"/>
        <v>176285.25</v>
      </c>
      <c r="L123" s="194">
        <f t="shared" si="26"/>
        <v>44399.26122355018</v>
      </c>
      <c r="N123" s="127">
        <f t="shared" si="27"/>
        <v>180051.33599999998</v>
      </c>
      <c r="O123" s="127">
        <f>Sheet2!$G$24*0.5*D123/20*$F$10/365+(Sheet2!$G$24*0.5*D123/20*$F$10/365)*($F$10/$F$14*$I$32*2)/$I$39</f>
        <v>45508.91718347214</v>
      </c>
      <c r="P123" s="127">
        <f>Sheet2!$F$27*(K123+L123+N123)</f>
        <v>74037.0486972081</v>
      </c>
      <c r="Q123" s="193">
        <f t="shared" si="23"/>
        <v>1061578.6810829279</v>
      </c>
      <c r="R123" s="130">
        <f>($I$41+$F$10*Sheet2!$G$24/365)*J123/24</f>
        <v>33625.95059250428</v>
      </c>
      <c r="S123" s="198">
        <f t="shared" si="30"/>
        <v>47127.53103369883</v>
      </c>
      <c r="T123" s="201">
        <f t="shared" si="31"/>
        <v>2.6028959792907425</v>
      </c>
      <c r="U123" s="201">
        <f t="shared" si="32"/>
        <v>0.20122395339862703</v>
      </c>
      <c r="V123" s="204">
        <f t="shared" si="28"/>
        <v>7.0588235294117645</v>
      </c>
      <c r="W123" s="204">
        <f t="shared" si="29"/>
        <v>7.6499999999999995</v>
      </c>
      <c r="X123" s="190">
        <f t="shared" si="33"/>
        <v>14.708823529411765</v>
      </c>
      <c r="Y123" s="210">
        <f t="shared" si="19"/>
        <v>1.7079999999999997</v>
      </c>
      <c r="Z123" s="10">
        <f t="shared" si="20"/>
        <v>-0.3999643690549474</v>
      </c>
    </row>
    <row r="124" spans="1:26" ht="13.5" thickBot="1">
      <c r="A124" s="203">
        <f t="shared" si="24"/>
        <v>772.6588235294118</v>
      </c>
      <c r="B124" s="10">
        <f t="shared" si="9"/>
        <v>-0.4078445096983334</v>
      </c>
      <c r="C124" s="11">
        <f t="shared" si="10"/>
        <v>1180230.549992813</v>
      </c>
      <c r="D124" s="187">
        <v>52</v>
      </c>
      <c r="E124" s="201">
        <f t="shared" si="11"/>
        <v>2.884377546056154</v>
      </c>
      <c r="F124" s="191">
        <f t="shared" si="12"/>
        <v>1352</v>
      </c>
      <c r="G124">
        <f t="shared" si="13"/>
        <v>2.0611995104039167</v>
      </c>
      <c r="H124" s="130">
        <f t="shared" si="34"/>
        <v>367.05882352941177</v>
      </c>
      <c r="I124" s="130">
        <f t="shared" si="35"/>
        <v>405.6</v>
      </c>
      <c r="J124" s="197">
        <f t="shared" si="36"/>
        <v>14.858823529411765</v>
      </c>
      <c r="K124" s="196">
        <f t="shared" si="25"/>
        <v>181574.82352941175</v>
      </c>
      <c r="L124" s="194">
        <f t="shared" si="26"/>
        <v>45269.83497303155</v>
      </c>
      <c r="N124" s="127">
        <f t="shared" si="27"/>
        <v>183705.3063529412</v>
      </c>
      <c r="O124" s="127">
        <f>Sheet2!$G$24*0.5*D124/20*$F$10/365+(Sheet2!$G$24*0.5*D124/20*$F$10/365)*($F$10/$F$14*$I$32*2)/$I$39</f>
        <v>46401.24889295199</v>
      </c>
      <c r="P124" s="127">
        <f>Sheet2!$F$27*(K124+L124+N124)</f>
        <v>75850.2338915511</v>
      </c>
      <c r="Q124" s="193">
        <f t="shared" si="23"/>
        <v>1098210.0830178342</v>
      </c>
      <c r="R124" s="130">
        <f>($I$41+$F$10*Sheet2!$G$24/365)*J124/24</f>
        <v>33968.866705325265</v>
      </c>
      <c r="S124" s="198">
        <f t="shared" si="30"/>
        <v>48051.6002696537</v>
      </c>
      <c r="T124" s="201">
        <f t="shared" si="31"/>
        <v>2.6408965420325226</v>
      </c>
      <c r="U124" s="201">
        <f t="shared" si="32"/>
        <v>0.20045066047570984</v>
      </c>
      <c r="V124" s="204">
        <f t="shared" si="28"/>
        <v>7.0588235294117645</v>
      </c>
      <c r="W124" s="204">
        <f t="shared" si="29"/>
        <v>7.800000000000001</v>
      </c>
      <c r="X124" s="190">
        <f t="shared" si="33"/>
        <v>14.858823529411767</v>
      </c>
      <c r="Y124" s="210">
        <f t="shared" si="19"/>
        <v>1.7079999999999997</v>
      </c>
      <c r="Z124" s="10">
        <f t="shared" si="20"/>
        <v>-0.4078445096983334</v>
      </c>
    </row>
    <row r="125" spans="1:26" ht="13.5" thickBot="1">
      <c r="A125" s="203">
        <f t="shared" si="24"/>
        <v>795.4676470588236</v>
      </c>
      <c r="B125" s="10">
        <f t="shared" si="9"/>
        <v>-0.41557334181052225</v>
      </c>
      <c r="C125" s="11">
        <f t="shared" si="10"/>
        <v>1218835.5716125763</v>
      </c>
      <c r="D125" s="189">
        <v>53</v>
      </c>
      <c r="E125" s="201">
        <f t="shared" si="11"/>
        <v>2.9225224004861303</v>
      </c>
      <c r="F125" s="191">
        <f t="shared" si="12"/>
        <v>1404.5</v>
      </c>
      <c r="G125">
        <f t="shared" si="13"/>
        <v>2.0820073439412483</v>
      </c>
      <c r="H125" s="130">
        <f t="shared" si="34"/>
        <v>374.11764705882354</v>
      </c>
      <c r="I125" s="130">
        <f t="shared" si="35"/>
        <v>421.35</v>
      </c>
      <c r="J125" s="197">
        <f t="shared" si="36"/>
        <v>15.008823529411764</v>
      </c>
      <c r="K125" s="196">
        <f t="shared" si="25"/>
        <v>186934.89705882355</v>
      </c>
      <c r="L125" s="194">
        <f t="shared" si="26"/>
        <v>46140.40872251293</v>
      </c>
      <c r="N125" s="127">
        <f t="shared" si="27"/>
        <v>187364.02870588237</v>
      </c>
      <c r="O125" s="127">
        <f>Sheet2!$G$24*0.5*D125/20*$F$10/365+(Sheet2!$G$24*0.5*D125/20*$F$10/365)*($F$10/$F$14*$I$32*2)/$I$39</f>
        <v>47293.580602431844</v>
      </c>
      <c r="P125" s="127">
        <f>Sheet2!$F$27*(K125+L125+N125)</f>
        <v>77677.3220996304</v>
      </c>
      <c r="Q125" s="193">
        <f t="shared" si="23"/>
        <v>1135548.1192888215</v>
      </c>
      <c r="R125" s="130">
        <f>($I$41+$F$10*Sheet2!$G$24/365)*J125/24</f>
        <v>34311.78281814624</v>
      </c>
      <c r="S125" s="198">
        <f t="shared" si="30"/>
        <v>48975.66950560858</v>
      </c>
      <c r="T125" s="201">
        <f t="shared" si="31"/>
        <v>2.6791297116898978</v>
      </c>
      <c r="U125" s="201">
        <f t="shared" si="32"/>
        <v>0.1997065484178083</v>
      </c>
      <c r="V125" s="204">
        <f t="shared" si="28"/>
        <v>7.0588235294117645</v>
      </c>
      <c r="W125" s="204">
        <f t="shared" si="29"/>
        <v>7.95</v>
      </c>
      <c r="X125" s="190">
        <f t="shared" si="33"/>
        <v>15.008823529411766</v>
      </c>
      <c r="Y125" s="210">
        <f t="shared" si="19"/>
        <v>1.7079999999999997</v>
      </c>
      <c r="Z125" s="10">
        <f t="shared" si="20"/>
        <v>-0.41557334181052225</v>
      </c>
    </row>
    <row r="126" spans="1:26" ht="13.5" thickBot="1">
      <c r="A126" s="203">
        <f t="shared" si="24"/>
        <v>818.5764705882352</v>
      </c>
      <c r="B126" s="10">
        <f t="shared" si="9"/>
        <v>-0.4231543226907221</v>
      </c>
      <c r="C126" s="11">
        <f t="shared" si="10"/>
        <v>1258152.7929364739</v>
      </c>
      <c r="D126" s="187">
        <v>54</v>
      </c>
      <c r="E126" s="201">
        <f t="shared" si="11"/>
        <v>2.9609305697964854</v>
      </c>
      <c r="F126" s="191">
        <f t="shared" si="12"/>
        <v>1458</v>
      </c>
      <c r="G126">
        <f t="shared" si="13"/>
        <v>2.10281517747858</v>
      </c>
      <c r="H126" s="130">
        <f t="shared" si="34"/>
        <v>381.1764705882353</v>
      </c>
      <c r="I126" s="130">
        <f t="shared" si="35"/>
        <v>437.4</v>
      </c>
      <c r="J126" s="197">
        <f t="shared" si="36"/>
        <v>15.158823529411764</v>
      </c>
      <c r="K126" s="196">
        <f t="shared" si="25"/>
        <v>192365.4705882353</v>
      </c>
      <c r="L126" s="194">
        <f t="shared" si="26"/>
        <v>47010.98247199431</v>
      </c>
      <c r="N126" s="127">
        <f t="shared" si="27"/>
        <v>191027.50305882355</v>
      </c>
      <c r="O126" s="127">
        <f>Sheet2!$G$24*0.5*D126/20*$F$10/365+(Sheet2!$G$24*0.5*D126/20*$F$10/365)*($F$10/$F$14*$I$32*2)/$I$39</f>
        <v>48185.912311911685</v>
      </c>
      <c r="P126" s="127">
        <f>Sheet2!$F$27*(K126+L126+N126)</f>
        <v>79518.31332144594</v>
      </c>
      <c r="Q126" s="193">
        <f t="shared" si="23"/>
        <v>1173598.3552639433</v>
      </c>
      <c r="R126" s="130">
        <f>($I$41+$F$10*Sheet2!$G$24/365)*J126/24</f>
        <v>34654.69893096721</v>
      </c>
      <c r="S126" s="198">
        <f t="shared" si="30"/>
        <v>49899.738741563466</v>
      </c>
      <c r="T126" s="201">
        <f t="shared" si="31"/>
        <v>2.7175954484528666</v>
      </c>
      <c r="U126" s="201">
        <f t="shared" si="32"/>
        <v>0.19898999606575507</v>
      </c>
      <c r="V126" s="204">
        <f t="shared" si="28"/>
        <v>7.0588235294117645</v>
      </c>
      <c r="W126" s="204">
        <f t="shared" si="29"/>
        <v>8.1</v>
      </c>
      <c r="X126" s="190">
        <f t="shared" si="33"/>
        <v>15.158823529411764</v>
      </c>
      <c r="Y126" s="210">
        <f t="shared" si="19"/>
        <v>1.7079999999999997</v>
      </c>
      <c r="Z126" s="10">
        <f t="shared" si="20"/>
        <v>-0.4231543226907221</v>
      </c>
    </row>
    <row r="127" spans="1:26" ht="13.5" thickBot="1">
      <c r="A127" s="203">
        <f t="shared" si="24"/>
        <v>841.9852941176471</v>
      </c>
      <c r="B127" s="10">
        <f t="shared" si="9"/>
        <v>-0.43059084997699987</v>
      </c>
      <c r="C127" s="11">
        <f t="shared" si="10"/>
        <v>1298187.7793325614</v>
      </c>
      <c r="D127" s="187">
        <v>55</v>
      </c>
      <c r="E127" s="201">
        <f t="shared" si="11"/>
        <v>2.99960055073054</v>
      </c>
      <c r="F127" s="191">
        <f t="shared" si="12"/>
        <v>1512.5</v>
      </c>
      <c r="G127">
        <f t="shared" si="13"/>
        <v>2.123623011015912</v>
      </c>
      <c r="H127" s="130">
        <f t="shared" si="34"/>
        <v>388.2352941176471</v>
      </c>
      <c r="I127" s="130">
        <f t="shared" si="35"/>
        <v>453.75</v>
      </c>
      <c r="J127" s="197">
        <f t="shared" si="36"/>
        <v>15.308823529411764</v>
      </c>
      <c r="K127" s="196">
        <f t="shared" si="25"/>
        <v>197866.54411764708</v>
      </c>
      <c r="L127" s="194">
        <f t="shared" si="26"/>
        <v>47881.55622147569</v>
      </c>
      <c r="N127" s="127">
        <f t="shared" si="27"/>
        <v>194695.72941176474</v>
      </c>
      <c r="O127" s="127">
        <f>Sheet2!$G$24*0.5*D127/20*$F$10/365+(Sheet2!$G$24*0.5*D127/20*$F$10/365)*($F$10/$F$14*$I$32*2)/$I$39</f>
        <v>49078.24402139153</v>
      </c>
      <c r="P127" s="127">
        <f>Sheet2!$F$27*(K127+L127+N127)</f>
        <v>81373.20755699775</v>
      </c>
      <c r="Q127" s="193">
        <f t="shared" si="23"/>
        <v>1212366.356311255</v>
      </c>
      <c r="R127" s="130">
        <f>($I$41+$F$10*Sheet2!$G$24/365)*J127/24</f>
        <v>34997.615043788195</v>
      </c>
      <c r="S127" s="198">
        <f t="shared" si="30"/>
        <v>50823.80797751834</v>
      </c>
      <c r="T127" s="201">
        <f t="shared" si="31"/>
        <v>2.756293715406705</v>
      </c>
      <c r="U127" s="201">
        <f t="shared" si="32"/>
        <v>0.1982995001628674</v>
      </c>
      <c r="V127" s="204">
        <f t="shared" si="28"/>
        <v>7.058823529411765</v>
      </c>
      <c r="W127" s="204">
        <f t="shared" si="29"/>
        <v>8.25</v>
      </c>
      <c r="X127" s="190">
        <f t="shared" si="33"/>
        <v>15.308823529411764</v>
      </c>
      <c r="Y127" s="210">
        <f t="shared" si="19"/>
        <v>1.7079999999999997</v>
      </c>
      <c r="Z127" s="10">
        <f t="shared" si="20"/>
        <v>-0.43059084997699987</v>
      </c>
    </row>
    <row r="128" spans="1:26" ht="13.5" thickBot="1">
      <c r="A128" s="203">
        <f t="shared" si="24"/>
        <v>865.6941176470588</v>
      </c>
      <c r="B128" s="10">
        <f t="shared" si="9"/>
        <v>-0.43788625833891426</v>
      </c>
      <c r="C128" s="11">
        <f t="shared" si="10"/>
        <v>1338946.0961688922</v>
      </c>
      <c r="D128" s="187">
        <v>56</v>
      </c>
      <c r="E128" s="201">
        <f t="shared" si="11"/>
        <v>3.038530947407084</v>
      </c>
      <c r="F128" s="191">
        <f t="shared" si="12"/>
        <v>1568</v>
      </c>
      <c r="G128">
        <f t="shared" si="13"/>
        <v>2.1444308445532436</v>
      </c>
      <c r="H128" s="130">
        <f t="shared" si="34"/>
        <v>395.2941176470588</v>
      </c>
      <c r="I128" s="130">
        <f t="shared" si="35"/>
        <v>470.4</v>
      </c>
      <c r="J128" s="197">
        <f t="shared" si="36"/>
        <v>15.458823529411765</v>
      </c>
      <c r="K128" s="196">
        <f t="shared" si="25"/>
        <v>203438.11764705883</v>
      </c>
      <c r="L128" s="194">
        <f t="shared" si="26"/>
        <v>48752.12997095706</v>
      </c>
      <c r="N128" s="127">
        <f t="shared" si="27"/>
        <v>198368.70776470585</v>
      </c>
      <c r="O128" s="127">
        <f>Sheet2!$G$24*0.5*D128/20*$F$10/365+(Sheet2!$G$24*0.5*D128/20*$F$10/365)*($F$10/$F$14*$I$32*2)/$I$39</f>
        <v>49970.57573087137</v>
      </c>
      <c r="P128" s="127">
        <f>Sheet2!$F$27*(K128+L128+N128)</f>
        <v>83242.00480628581</v>
      </c>
      <c r="Q128" s="193">
        <f t="shared" si="23"/>
        <v>1251857.68779881</v>
      </c>
      <c r="R128" s="130">
        <f>($I$41+$F$10*Sheet2!$G$24/365)*J128/24</f>
        <v>35340.53115660918</v>
      </c>
      <c r="S128" s="198">
        <f t="shared" si="30"/>
        <v>51747.87721347322</v>
      </c>
      <c r="T128" s="201">
        <f t="shared" si="31"/>
        <v>2.795224478273449</v>
      </c>
      <c r="U128" s="201">
        <f t="shared" si="32"/>
        <v>0.19763366482793998</v>
      </c>
      <c r="V128" s="204">
        <f t="shared" si="28"/>
        <v>7.058823529411764</v>
      </c>
      <c r="W128" s="204">
        <f t="shared" si="29"/>
        <v>8.4</v>
      </c>
      <c r="X128" s="190">
        <f t="shared" si="33"/>
        <v>15.458823529411763</v>
      </c>
      <c r="Y128" s="210">
        <f t="shared" si="19"/>
        <v>1.7079999999999997</v>
      </c>
      <c r="Z128" s="10">
        <f t="shared" si="20"/>
        <v>-0.43788625833891426</v>
      </c>
    </row>
    <row r="129" spans="1:26" ht="13.5" thickBot="1">
      <c r="A129" s="203">
        <f t="shared" si="24"/>
        <v>889.7029411764706</v>
      </c>
      <c r="B129" s="10">
        <f t="shared" si="9"/>
        <v>-0.4450438169603115</v>
      </c>
      <c r="C129" s="11">
        <f t="shared" si="10"/>
        <v>1380433.3088135223</v>
      </c>
      <c r="D129" s="189">
        <v>57</v>
      </c>
      <c r="E129" s="201">
        <f t="shared" si="11"/>
        <v>3.0777204619014933</v>
      </c>
      <c r="F129" s="191">
        <f t="shared" si="12"/>
        <v>1624.5</v>
      </c>
      <c r="G129">
        <f t="shared" si="13"/>
        <v>2.1652386780905752</v>
      </c>
      <c r="H129" s="130">
        <f t="shared" si="34"/>
        <v>402.35294117647055</v>
      </c>
      <c r="I129" s="130">
        <f t="shared" si="35"/>
        <v>487.35</v>
      </c>
      <c r="J129" s="197">
        <f t="shared" si="36"/>
        <v>15.608823529411765</v>
      </c>
      <c r="K129" s="196">
        <f t="shared" si="25"/>
        <v>209080.1911764706</v>
      </c>
      <c r="L129" s="194">
        <f t="shared" si="26"/>
        <v>49622.70372043844</v>
      </c>
      <c r="N129" s="127">
        <f t="shared" si="27"/>
        <v>202046.43811764708</v>
      </c>
      <c r="O129" s="127">
        <f>Sheet2!$G$24*0.5*D129/20*$F$10/365+(Sheet2!$G$24*0.5*D129/20*$F$10/365)*($F$10/$F$14*$I$32*2)/$I$39</f>
        <v>50862.90744035122</v>
      </c>
      <c r="P129" s="127">
        <f>Sheet2!$F$27*(K129+L129+N129)</f>
        <v>85124.70506931015</v>
      </c>
      <c r="Q129" s="193">
        <f t="shared" si="23"/>
        <v>1292077.915094664</v>
      </c>
      <c r="R129" s="130">
        <f>($I$41+$F$10*Sheet2!$G$24/365)*J129/24</f>
        <v>35683.44726943016</v>
      </c>
      <c r="S129" s="198">
        <f t="shared" si="30"/>
        <v>52671.9464494281</v>
      </c>
      <c r="T129" s="201">
        <f t="shared" si="31"/>
        <v>2.834387705180612</v>
      </c>
      <c r="U129" s="201">
        <f t="shared" si="32"/>
        <v>0.19699119213634333</v>
      </c>
      <c r="V129" s="204">
        <f t="shared" si="28"/>
        <v>7.0588235294117645</v>
      </c>
      <c r="W129" s="204">
        <f t="shared" si="29"/>
        <v>8.55</v>
      </c>
      <c r="X129" s="190">
        <f t="shared" si="33"/>
        <v>15.608823529411765</v>
      </c>
      <c r="Y129" s="210">
        <f t="shared" si="19"/>
        <v>1.7079999999999997</v>
      </c>
      <c r="Z129" s="10">
        <f t="shared" si="20"/>
        <v>-0.4450438169603115</v>
      </c>
    </row>
    <row r="130" spans="1:26" ht="13.5" thickBot="1">
      <c r="A130" s="203">
        <f t="shared" si="24"/>
        <v>914.0117647058823</v>
      </c>
      <c r="B130" s="10">
        <f t="shared" si="9"/>
        <v>-0.4520667276921445</v>
      </c>
      <c r="C130" s="11">
        <f t="shared" si="10"/>
        <v>1422654.9826345055</v>
      </c>
      <c r="D130" s="187">
        <v>58</v>
      </c>
      <c r="E130" s="201">
        <f t="shared" si="11"/>
        <v>3.1171678858011793</v>
      </c>
      <c r="F130" s="191">
        <f t="shared" si="12"/>
        <v>1682</v>
      </c>
      <c r="G130">
        <f t="shared" si="13"/>
        <v>2.186046511627907</v>
      </c>
      <c r="H130" s="130">
        <f t="shared" si="34"/>
        <v>409.4117647058823</v>
      </c>
      <c r="I130" s="130">
        <f t="shared" si="35"/>
        <v>504.6</v>
      </c>
      <c r="J130" s="197">
        <f t="shared" si="36"/>
        <v>15.758823529411764</v>
      </c>
      <c r="K130" s="196">
        <f t="shared" si="25"/>
        <v>214792.76470588235</v>
      </c>
      <c r="L130" s="194">
        <f t="shared" si="26"/>
        <v>50493.27746991981</v>
      </c>
      <c r="N130" s="127">
        <f t="shared" si="27"/>
        <v>205728.92047058823</v>
      </c>
      <c r="O130" s="127">
        <f>Sheet2!$G$24*0.5*D130/20*$F$10/365+(Sheet2!$G$24*0.5*D130/20*$F$10/365)*($F$10/$F$14*$I$32*2)/$I$39</f>
        <v>51755.239149831075</v>
      </c>
      <c r="P130" s="127">
        <f>Sheet2!$F$27*(K130+L130+N130)</f>
        <v>87021.30834607076</v>
      </c>
      <c r="Q130" s="193">
        <f t="shared" si="23"/>
        <v>1333032.6035668713</v>
      </c>
      <c r="R130" s="130">
        <f>($I$41+$F$10*Sheet2!$G$24/365)*J130/24</f>
        <v>36026.36338225113</v>
      </c>
      <c r="S130" s="198">
        <f t="shared" si="30"/>
        <v>53596.015685382976</v>
      </c>
      <c r="T130" s="201">
        <f t="shared" si="31"/>
        <v>2.873783366453807</v>
      </c>
      <c r="U130" s="201">
        <f t="shared" si="32"/>
        <v>0.19637087367549141</v>
      </c>
      <c r="V130" s="204">
        <f t="shared" si="28"/>
        <v>7.0588235294117645</v>
      </c>
      <c r="W130" s="204">
        <f t="shared" si="29"/>
        <v>8.700000000000001</v>
      </c>
      <c r="X130" s="190">
        <f t="shared" si="33"/>
        <v>15.758823529411764</v>
      </c>
      <c r="Y130" s="210">
        <f t="shared" si="19"/>
        <v>1.7079999999999997</v>
      </c>
      <c r="Z130" s="10">
        <f t="shared" si="20"/>
        <v>-0.4520667276921445</v>
      </c>
    </row>
    <row r="131" spans="1:26" ht="13.5" thickBot="1">
      <c r="A131" s="203">
        <f t="shared" si="24"/>
        <v>938.620588235294</v>
      </c>
      <c r="B131" s="10">
        <f t="shared" si="9"/>
        <v>-0.45895812377290174</v>
      </c>
      <c r="C131" s="11">
        <f t="shared" si="10"/>
        <v>1465616.6829998957</v>
      </c>
      <c r="D131" s="187">
        <v>59</v>
      </c>
      <c r="E131" s="201">
        <f t="shared" si="11"/>
        <v>3.1568720926198317</v>
      </c>
      <c r="F131" s="191">
        <f t="shared" si="12"/>
        <v>1740.5</v>
      </c>
      <c r="G131">
        <f t="shared" si="13"/>
        <v>2.2068543451652385</v>
      </c>
      <c r="H131" s="130">
        <f t="shared" si="34"/>
        <v>416.4705882352941</v>
      </c>
      <c r="I131" s="130">
        <f t="shared" si="35"/>
        <v>522.15</v>
      </c>
      <c r="J131" s="197">
        <f t="shared" si="36"/>
        <v>15.908823529411764</v>
      </c>
      <c r="K131" s="196">
        <f t="shared" si="25"/>
        <v>220575.8382352941</v>
      </c>
      <c r="L131" s="194">
        <f t="shared" si="26"/>
        <v>51363.851219401186</v>
      </c>
      <c r="N131" s="127">
        <f t="shared" si="27"/>
        <v>209416.1548235294</v>
      </c>
      <c r="O131" s="127">
        <f>Sheet2!$G$24*0.5*D131/20*$F$10/365+(Sheet2!$G$24*0.5*D131/20*$F$10/365)*($F$10/$F$14*$I$32*2)/$I$39</f>
        <v>52647.57085931092</v>
      </c>
      <c r="P131" s="127">
        <f>Sheet2!$F$27*(K131+L131+N131)</f>
        <v>88931.8146365676</v>
      </c>
      <c r="Q131" s="193">
        <f t="shared" si="23"/>
        <v>1374727.3185834857</v>
      </c>
      <c r="R131" s="130">
        <f>($I$41+$F$10*Sheet2!$G$24/365)*J131/24</f>
        <v>36369.279495072115</v>
      </c>
      <c r="S131" s="198">
        <f t="shared" si="30"/>
        <v>54520.08492133786</v>
      </c>
      <c r="T131" s="201">
        <f t="shared" si="31"/>
        <v>2.9134114344304676</v>
      </c>
      <c r="U131" s="201">
        <f t="shared" si="32"/>
        <v>0.19577158295907518</v>
      </c>
      <c r="V131" s="204">
        <f t="shared" si="28"/>
        <v>7.0588235294117645</v>
      </c>
      <c r="W131" s="204">
        <f t="shared" si="29"/>
        <v>8.85</v>
      </c>
      <c r="X131" s="190">
        <f t="shared" si="33"/>
        <v>15.908823529411762</v>
      </c>
      <c r="Y131" s="210">
        <f t="shared" si="19"/>
        <v>1.7079999999999997</v>
      </c>
      <c r="Z131" s="10">
        <f t="shared" si="20"/>
        <v>-0.45895812377290174</v>
      </c>
    </row>
    <row r="132" spans="1:26" ht="13.5" thickBot="1">
      <c r="A132" s="203">
        <f t="shared" si="24"/>
        <v>963.5294117647059</v>
      </c>
      <c r="B132" s="10">
        <f t="shared" si="9"/>
        <v>-0.4657210690291959</v>
      </c>
      <c r="C132" s="11">
        <f t="shared" si="10"/>
        <v>1509323.9752777487</v>
      </c>
      <c r="D132" s="189">
        <v>60</v>
      </c>
      <c r="E132" s="201">
        <f t="shared" si="11"/>
        <v>3.1968320309702314</v>
      </c>
      <c r="F132" s="191">
        <f t="shared" si="12"/>
        <v>1800</v>
      </c>
      <c r="G132">
        <f t="shared" si="13"/>
        <v>2.22766217870257</v>
      </c>
      <c r="H132" s="130">
        <f t="shared" si="34"/>
        <v>423.52941176470586</v>
      </c>
      <c r="I132" s="130">
        <f t="shared" si="35"/>
        <v>540</v>
      </c>
      <c r="J132" s="197">
        <f t="shared" si="36"/>
        <v>16.058823529411764</v>
      </c>
      <c r="K132" s="196">
        <f t="shared" si="25"/>
        <v>226429.41176470587</v>
      </c>
      <c r="L132" s="194">
        <f t="shared" si="26"/>
        <v>52234.424968882566</v>
      </c>
      <c r="N132" s="127">
        <f t="shared" si="27"/>
        <v>213108.14117647056</v>
      </c>
      <c r="O132" s="127">
        <f>Sheet2!$G$24*0.5*D132/20*$F$10/365+(Sheet2!$G$24*0.5*D132/20*$F$10/365)*($F$10/$F$14*$I$32*2)/$I$39</f>
        <v>53539.902568790756</v>
      </c>
      <c r="P132" s="127">
        <f>Sheet2!$F$27*(K132+L132+N132)</f>
        <v>90856.22394080073</v>
      </c>
      <c r="Q132" s="193">
        <f t="shared" si="23"/>
        <v>1417167.6255125627</v>
      </c>
      <c r="R132" s="130">
        <f>($I$41+$F$10*Sheet2!$G$24/365)*J132/24</f>
        <v>36712.195607893096</v>
      </c>
      <c r="S132" s="198">
        <f t="shared" si="30"/>
        <v>55444.15415729274</v>
      </c>
      <c r="T132" s="201">
        <f t="shared" si="31"/>
        <v>2.953271883292204</v>
      </c>
      <c r="U132" s="201">
        <f t="shared" si="32"/>
        <v>0.19519226859987276</v>
      </c>
      <c r="V132" s="204">
        <f t="shared" si="28"/>
        <v>7.0588235294117645</v>
      </c>
      <c r="W132" s="204">
        <f t="shared" si="29"/>
        <v>9</v>
      </c>
      <c r="X132" s="190">
        <f t="shared" si="33"/>
        <v>16.058823529411764</v>
      </c>
      <c r="Y132" s="210">
        <f t="shared" si="19"/>
        <v>1.7079999999999997</v>
      </c>
      <c r="Z132" s="10">
        <f t="shared" si="20"/>
        <v>-0.4657210690291959</v>
      </c>
    </row>
    <row r="133" spans="1:26" ht="13.5" thickBot="1">
      <c r="A133" s="203">
        <f t="shared" si="24"/>
        <v>988.7382352941177</v>
      </c>
      <c r="B133" s="10">
        <f t="shared" si="9"/>
        <v>-0.4723585574817718</v>
      </c>
      <c r="C133" s="11">
        <f t="shared" si="10"/>
        <v>1553782.4248361182</v>
      </c>
      <c r="D133" s="187">
        <v>61</v>
      </c>
      <c r="E133" s="201">
        <f t="shared" si="11"/>
        <v>3.2370467184085796</v>
      </c>
      <c r="F133" s="191">
        <f t="shared" si="12"/>
        <v>1860.5</v>
      </c>
      <c r="G133">
        <f t="shared" si="13"/>
        <v>2.248470012239902</v>
      </c>
      <c r="H133" s="130">
        <f t="shared" si="34"/>
        <v>430.5882352941176</v>
      </c>
      <c r="I133" s="130">
        <f t="shared" si="35"/>
        <v>558.15</v>
      </c>
      <c r="J133" s="197">
        <f t="shared" si="36"/>
        <v>16.208823529411767</v>
      </c>
      <c r="K133" s="196">
        <f t="shared" si="25"/>
        <v>232353.48529411765</v>
      </c>
      <c r="L133" s="194">
        <f t="shared" si="26"/>
        <v>53104.99871836394</v>
      </c>
      <c r="N133" s="127">
        <f t="shared" si="27"/>
        <v>216804.8795294118</v>
      </c>
      <c r="O133" s="127">
        <f>Sheet2!$G$24*0.5*D133/20*$F$10/365+(Sheet2!$G$24*0.5*D133/20*$F$10/365)*($F$10/$F$14*$I$32*2)/$I$39</f>
        <v>54432.23427827061</v>
      </c>
      <c r="P133" s="127">
        <f>Sheet2!$F$27*(K133+L133+N133)</f>
        <v>92794.53625877012</v>
      </c>
      <c r="Q133" s="193">
        <f t="shared" si="23"/>
        <v>1460359.0897221565</v>
      </c>
      <c r="R133" s="130">
        <f>($I$41+$F$10*Sheet2!$G$24/365)*J133/24</f>
        <v>37055.11172071408</v>
      </c>
      <c r="S133" s="198">
        <f t="shared" si="30"/>
        <v>56368.223393247616</v>
      </c>
      <c r="T133" s="201">
        <f t="shared" si="31"/>
        <v>2.9933646889136303</v>
      </c>
      <c r="U133" s="201">
        <f t="shared" si="32"/>
        <v>0.19463194815408685</v>
      </c>
      <c r="V133" s="204">
        <f t="shared" si="28"/>
        <v>7.0588235294117645</v>
      </c>
      <c r="W133" s="204">
        <f t="shared" si="29"/>
        <v>9.15</v>
      </c>
      <c r="X133" s="190">
        <f t="shared" si="33"/>
        <v>16.208823529411767</v>
      </c>
      <c r="Y133" s="210">
        <f t="shared" si="19"/>
        <v>1.7079999999999997</v>
      </c>
      <c r="Z133" s="10">
        <f t="shared" si="20"/>
        <v>-0.4723585574817718</v>
      </c>
    </row>
    <row r="134" spans="2:26" ht="12.75">
      <c r="B134" s="10">
        <f>MAX(B73:B133)</f>
        <v>0.1649516011594696</v>
      </c>
      <c r="C134" t="s">
        <v>160</v>
      </c>
      <c r="Z134" s="10">
        <f>MAX(Z73:Z133)</f>
        <v>0.1649516011594696</v>
      </c>
    </row>
    <row r="135" spans="2:3" ht="12.75">
      <c r="B135" s="1">
        <f>VLOOKUP(B134,B73:D133,3,FALSE)</f>
        <v>6</v>
      </c>
      <c r="C135" t="s">
        <v>161</v>
      </c>
    </row>
  </sheetData>
  <sheetProtection selectLockedCells="1"/>
  <protectedRanges>
    <protectedRange password="C58C" sqref="F9:F32" name="Variables"/>
  </protectedRanges>
  <mergeCells count="23">
    <mergeCell ref="D64:N65"/>
    <mergeCell ref="D66:N66"/>
    <mergeCell ref="D10:E10"/>
    <mergeCell ref="I8:I9"/>
    <mergeCell ref="E42:H42"/>
    <mergeCell ref="D17:E17"/>
    <mergeCell ref="D6:F7"/>
    <mergeCell ref="H6:H7"/>
    <mergeCell ref="K44:K45"/>
    <mergeCell ref="D35:E35"/>
    <mergeCell ref="D34:F34"/>
    <mergeCell ref="I6:I7"/>
    <mergeCell ref="D38:E38"/>
    <mergeCell ref="D2:S2"/>
    <mergeCell ref="D43:E43"/>
    <mergeCell ref="D16:E16"/>
    <mergeCell ref="D37:E37"/>
    <mergeCell ref="K21:L21"/>
    <mergeCell ref="H30:I30"/>
    <mergeCell ref="K22:L22"/>
    <mergeCell ref="D3:E3"/>
    <mergeCell ref="H8:H9"/>
    <mergeCell ref="D13:E13"/>
  </mergeCells>
  <conditionalFormatting sqref="I8:I10">
    <cfRule type="cellIs" priority="1" dxfId="0" operator="greaterThan" stopIfTrue="1">
      <formula>$I$6+1</formula>
    </cfRule>
  </conditionalFormatting>
  <dataValidations count="5">
    <dataValidation type="list" allowBlank="1" showInputMessage="1" showErrorMessage="1" sqref="F22">
      <formula1>$D$45:$D$53</formula1>
    </dataValidation>
    <dataValidation type="list" allowBlank="1" showInputMessage="1" showErrorMessage="1" sqref="M42 F30">
      <formula1>$K$29:$K$38</formula1>
    </dataValidation>
    <dataValidation type="list" allowBlank="1" showInputMessage="1" showErrorMessage="1" sqref="M45 F31">
      <formula1>$K$46:$K$48</formula1>
    </dataValidation>
    <dataValidation type="list" allowBlank="1" showInputMessage="1" showErrorMessage="1" sqref="F16">
      <formula1>$K$40:$K$43</formula1>
    </dataValidation>
    <dataValidation type="list" allowBlank="1" showInputMessage="1" showErrorMessage="1" sqref="F15">
      <formula1>$L$44:$L$45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28"/>
  <sheetViews>
    <sheetView workbookViewId="0" topLeftCell="A1">
      <selection activeCell="E37" sqref="E37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2.8515625" style="0" customWidth="1"/>
    <col min="5" max="5" width="13.8515625" style="0" customWidth="1"/>
    <col min="8" max="8" width="12.00390625" style="0" customWidth="1"/>
    <col min="9" max="9" width="11.140625" style="0" bestFit="1" customWidth="1"/>
    <col min="10" max="11" width="10.140625" style="0" bestFit="1" customWidth="1"/>
  </cols>
  <sheetData>
    <row r="3" ht="12.75">
      <c r="C3" t="s">
        <v>135</v>
      </c>
    </row>
    <row r="4" spans="3:4" ht="12.75">
      <c r="C4" t="s">
        <v>71</v>
      </c>
      <c r="D4" s="8" t="s">
        <v>72</v>
      </c>
    </row>
    <row r="5" ht="12.75">
      <c r="D5" s="9">
        <v>38146</v>
      </c>
    </row>
    <row r="7" spans="3:9" ht="12.75">
      <c r="C7" t="s">
        <v>73</v>
      </c>
      <c r="D7">
        <v>400</v>
      </c>
      <c r="H7" s="125"/>
      <c r="I7" s="125"/>
    </row>
    <row r="8" spans="3:9" ht="12.75">
      <c r="C8" t="s">
        <v>74</v>
      </c>
      <c r="D8">
        <v>551</v>
      </c>
      <c r="H8" s="125"/>
      <c r="I8" s="126"/>
    </row>
    <row r="9" spans="5:9" ht="12.75">
      <c r="E9" t="s">
        <v>88</v>
      </c>
      <c r="F9" t="s">
        <v>89</v>
      </c>
      <c r="G9" t="s">
        <v>90</v>
      </c>
      <c r="H9" s="125"/>
      <c r="I9" s="127"/>
    </row>
    <row r="10" spans="3:10" ht="12.75">
      <c r="C10" t="s">
        <v>75</v>
      </c>
      <c r="D10">
        <v>1</v>
      </c>
      <c r="E10">
        <v>23.3</v>
      </c>
      <c r="F10" s="10">
        <f>E10/$E$22</f>
        <v>0.16002747252747251</v>
      </c>
      <c r="G10" s="11">
        <f>E10*1000000/$D$7</f>
        <v>58250</v>
      </c>
      <c r="H10" s="128"/>
      <c r="I10" s="125"/>
      <c r="J10" s="13"/>
    </row>
    <row r="11" spans="3:10" ht="12.75">
      <c r="C11" t="s">
        <v>76</v>
      </c>
      <c r="D11">
        <v>1</v>
      </c>
      <c r="E11">
        <v>19.2</v>
      </c>
      <c r="F11" s="10">
        <f aca="true" t="shared" si="0" ref="F11:F22">E11/$E$22</f>
        <v>0.13186813186813184</v>
      </c>
      <c r="G11" s="11">
        <f>E11*1000000/$D$7</f>
        <v>48000</v>
      </c>
      <c r="H11" s="128"/>
      <c r="I11" s="129"/>
      <c r="J11" s="13"/>
    </row>
    <row r="12" spans="3:10" ht="12.75">
      <c r="C12" t="s">
        <v>77</v>
      </c>
      <c r="D12">
        <v>1</v>
      </c>
      <c r="E12">
        <v>9.7</v>
      </c>
      <c r="F12" s="10">
        <f t="shared" si="0"/>
        <v>0.0666208791208791</v>
      </c>
      <c r="G12" s="11">
        <f>E12*1000000/$D$7</f>
        <v>24250</v>
      </c>
      <c r="H12" s="128"/>
      <c r="I12" s="130"/>
      <c r="J12" s="13"/>
    </row>
    <row r="13" spans="3:10" ht="12.75">
      <c r="C13" t="s">
        <v>78</v>
      </c>
      <c r="D13">
        <v>1</v>
      </c>
      <c r="E13">
        <v>40.2</v>
      </c>
      <c r="F13" s="10">
        <f t="shared" si="0"/>
        <v>0.27609890109890106</v>
      </c>
      <c r="G13" s="11">
        <f aca="true" t="shared" si="1" ref="G13:G19">E13*1000000/$D$7</f>
        <v>100500</v>
      </c>
      <c r="H13" s="131"/>
      <c r="I13" s="130"/>
      <c r="J13" s="13"/>
    </row>
    <row r="14" spans="3:10" ht="12.75">
      <c r="C14" t="s">
        <v>79</v>
      </c>
      <c r="D14">
        <v>1</v>
      </c>
      <c r="E14">
        <v>2.5</v>
      </c>
      <c r="F14" s="10">
        <f t="shared" si="0"/>
        <v>0.01717032967032967</v>
      </c>
      <c r="G14" s="11">
        <f t="shared" si="1"/>
        <v>6250</v>
      </c>
      <c r="H14" s="128"/>
      <c r="I14" s="129"/>
      <c r="J14" s="13"/>
    </row>
    <row r="15" spans="3:10" ht="12.75">
      <c r="C15" t="s">
        <v>80</v>
      </c>
      <c r="D15">
        <v>1</v>
      </c>
      <c r="E15">
        <v>0.9</v>
      </c>
      <c r="F15" s="10">
        <f t="shared" si="0"/>
        <v>0.00618131868131868</v>
      </c>
      <c r="G15" s="11">
        <f t="shared" si="1"/>
        <v>2250</v>
      </c>
      <c r="H15" s="128"/>
      <c r="I15" s="128"/>
      <c r="J15" s="13"/>
    </row>
    <row r="16" spans="3:12" ht="12.75">
      <c r="C16" t="s">
        <v>81</v>
      </c>
      <c r="D16">
        <v>2</v>
      </c>
      <c r="E16">
        <v>2.1</v>
      </c>
      <c r="F16" s="10">
        <f t="shared" si="0"/>
        <v>0.014423076923076922</v>
      </c>
      <c r="G16" s="11">
        <f t="shared" si="1"/>
        <v>5250</v>
      </c>
      <c r="H16" s="267"/>
      <c r="I16" s="268"/>
      <c r="L16" s="11"/>
    </row>
    <row r="17" spans="3:12" ht="12.75">
      <c r="C17" t="s">
        <v>82</v>
      </c>
      <c r="D17">
        <v>2</v>
      </c>
      <c r="E17">
        <v>5.9</v>
      </c>
      <c r="F17" s="10">
        <f t="shared" si="0"/>
        <v>0.04052197802197802</v>
      </c>
      <c r="G17" s="11">
        <f t="shared" si="1"/>
        <v>14750</v>
      </c>
      <c r="H17" s="128"/>
      <c r="I17" s="127"/>
      <c r="J17" s="11"/>
      <c r="K17" s="11"/>
      <c r="L17" s="12"/>
    </row>
    <row r="18" spans="3:12" ht="12.75">
      <c r="C18" t="s">
        <v>83</v>
      </c>
      <c r="D18">
        <v>2</v>
      </c>
      <c r="E18">
        <v>10.4</v>
      </c>
      <c r="F18" s="10">
        <f t="shared" si="0"/>
        <v>0.07142857142857142</v>
      </c>
      <c r="G18" s="11">
        <f t="shared" si="1"/>
        <v>26000</v>
      </c>
      <c r="H18" s="128"/>
      <c r="I18" s="127"/>
      <c r="J18" s="11"/>
      <c r="K18" s="11"/>
      <c r="L18" s="12"/>
    </row>
    <row r="19" spans="3:12" ht="12.75">
      <c r="C19" t="s">
        <v>84</v>
      </c>
      <c r="D19">
        <v>1</v>
      </c>
      <c r="E19">
        <v>0.2</v>
      </c>
      <c r="F19" s="10">
        <f t="shared" si="0"/>
        <v>0.0013736263736263735</v>
      </c>
      <c r="G19" s="11">
        <f t="shared" si="1"/>
        <v>500</v>
      </c>
      <c r="H19" s="267"/>
      <c r="I19" s="267"/>
      <c r="J19" s="11"/>
      <c r="L19" s="12"/>
    </row>
    <row r="20" spans="3:12" ht="12.75">
      <c r="C20" t="s">
        <v>85</v>
      </c>
      <c r="D20">
        <v>1</v>
      </c>
      <c r="E20">
        <v>25.8</v>
      </c>
      <c r="F20" s="10">
        <f t="shared" si="0"/>
        <v>0.17719780219780218</v>
      </c>
      <c r="G20" s="11">
        <f>E20*1000000/$D$8</f>
        <v>46823.956442831215</v>
      </c>
      <c r="H20" s="128"/>
      <c r="I20" s="127"/>
      <c r="J20" s="11"/>
      <c r="K20" s="11"/>
      <c r="L20" s="12"/>
    </row>
    <row r="21" spans="3:12" ht="12.75">
      <c r="C21" t="s">
        <v>86</v>
      </c>
      <c r="D21">
        <v>2</v>
      </c>
      <c r="E21">
        <v>5.4</v>
      </c>
      <c r="F21" s="10">
        <f t="shared" si="0"/>
        <v>0.03708791208791209</v>
      </c>
      <c r="G21" s="11">
        <f>E21*1000000/$D$8</f>
        <v>9800.362976406534</v>
      </c>
      <c r="H21" s="128"/>
      <c r="I21" s="127"/>
      <c r="J21" s="11"/>
      <c r="K21" s="11"/>
      <c r="L21" s="12"/>
    </row>
    <row r="22" spans="4:10" ht="12.75">
      <c r="D22" t="s">
        <v>87</v>
      </c>
      <c r="E22">
        <f>SUM(E10:E21)</f>
        <v>145.60000000000002</v>
      </c>
      <c r="F22" s="10">
        <f t="shared" si="0"/>
        <v>1</v>
      </c>
      <c r="G22" s="11">
        <f>E22*1000000/$D$7</f>
        <v>364000.00000000006</v>
      </c>
      <c r="H22" s="13"/>
      <c r="I22" s="13"/>
      <c r="J22" s="13"/>
    </row>
    <row r="24" spans="5:9" ht="12.75">
      <c r="E24" t="s">
        <v>91</v>
      </c>
      <c r="G24" s="11">
        <f>SUM(G15:G21)</f>
        <v>105374.31941923776</v>
      </c>
      <c r="I24" s="13"/>
    </row>
    <row r="25" spans="5:8" ht="12.75">
      <c r="E25" t="s">
        <v>92</v>
      </c>
      <c r="G25" s="11">
        <f>SUM(G10:G14)</f>
        <v>237250</v>
      </c>
      <c r="H25" s="12"/>
    </row>
    <row r="26" ht="12.75">
      <c r="G26" s="11">
        <f>G24+G25</f>
        <v>342624.3194192378</v>
      </c>
    </row>
    <row r="27" spans="5:6" ht="12.75">
      <c r="E27" t="s">
        <v>105</v>
      </c>
      <c r="F27" s="10">
        <f>F15+F19+F20</f>
        <v>0.18475274725274723</v>
      </c>
    </row>
    <row r="28" ht="12.75">
      <c r="G28" s="13"/>
    </row>
  </sheetData>
  <mergeCells count="2">
    <mergeCell ref="H16:I16"/>
    <mergeCell ref="H19:I1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Sol</dc:creator>
  <cp:keywords/>
  <dc:description/>
  <cp:lastModifiedBy> Kim Sol</cp:lastModifiedBy>
  <dcterms:created xsi:type="dcterms:W3CDTF">2006-12-13T01:30:57Z</dcterms:created>
  <dcterms:modified xsi:type="dcterms:W3CDTF">2009-07-25T18:13:34Z</dcterms:modified>
  <cp:category/>
  <cp:version/>
  <cp:contentType/>
  <cp:contentStatus/>
</cp:coreProperties>
</file>