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510" windowHeight="9690" activeTab="0"/>
  </bookViews>
  <sheets>
    <sheet name="Sheet5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Kim Sol</author>
  </authors>
  <commentList>
    <comment ref="O10" authorId="0">
      <text>
        <r>
          <rPr>
            <sz val="8"/>
            <rFont val="Tahoma"/>
            <family val="0"/>
          </rPr>
          <t xml:space="preserve">Red signifies that at the rated speed, the train has insufficient horsepower. Speed will be reduced.
</t>
        </r>
      </text>
    </comment>
    <comment ref="O18" authorId="0">
      <text>
        <r>
          <rPr>
            <sz val="8"/>
            <rFont val="Tahoma"/>
            <family val="0"/>
          </rPr>
          <t xml:space="preserve">Red signifies that at the rated speed, the train has insufficient horsepower. Speed will be reduced.
</t>
        </r>
      </text>
    </comment>
    <comment ref="O31" authorId="0">
      <text>
        <r>
          <rPr>
            <sz val="8"/>
            <rFont val="Tahoma"/>
            <family val="0"/>
          </rPr>
          <t xml:space="preserve">Red signifies that at the rated speed, the train has insufficient horsepower. Speed will be reduced.
</t>
        </r>
      </text>
    </comment>
    <comment ref="O39" authorId="0">
      <text>
        <r>
          <rPr>
            <sz val="8"/>
            <rFont val="Tahoma"/>
            <family val="0"/>
          </rPr>
          <t xml:space="preserve">Red signifies that at the rated speed, the train has insufficient horsepower. Speed will be reduced.
</t>
        </r>
      </text>
    </comment>
    <comment ref="O51" authorId="0">
      <text>
        <r>
          <rPr>
            <sz val="8"/>
            <rFont val="Tahoma"/>
            <family val="0"/>
          </rPr>
          <t xml:space="preserve">Red signifies that at the rated speed, the train has insufficient horsepower. Speed will be reduced.
</t>
        </r>
      </text>
    </comment>
    <comment ref="O59" authorId="0">
      <text>
        <r>
          <rPr>
            <sz val="8"/>
            <rFont val="Tahoma"/>
            <family val="0"/>
          </rPr>
          <t xml:space="preserve">Red signifies that at the rated speed, the train has insufficient horsepower. Speed will be reduced.
</t>
        </r>
      </text>
    </comment>
  </commentList>
</comments>
</file>

<file path=xl/sharedStrings.xml><?xml version="1.0" encoding="utf-8"?>
<sst xmlns="http://schemas.openxmlformats.org/spreadsheetml/2006/main" count="408" uniqueCount="221">
  <si>
    <t>Weight</t>
  </si>
  <si>
    <t>COFC</t>
  </si>
  <si>
    <t>TOFC</t>
  </si>
  <si>
    <t>Axles</t>
  </si>
  <si>
    <t>Tractive Effort</t>
  </si>
  <si>
    <t>Locomotives</t>
  </si>
  <si>
    <t>Total Resistance</t>
  </si>
  <si>
    <t>Passenger</t>
  </si>
  <si>
    <t>Grade</t>
  </si>
  <si>
    <t>Speed</t>
  </si>
  <si>
    <t>Boxcar</t>
  </si>
  <si>
    <t>Big Box</t>
  </si>
  <si>
    <t>C. Hopper Car</t>
  </si>
  <si>
    <t>SD-10</t>
  </si>
  <si>
    <t>GP-20</t>
  </si>
  <si>
    <t>GP-40</t>
  </si>
  <si>
    <t>SD-40-2</t>
  </si>
  <si>
    <t>SD-45</t>
  </si>
  <si>
    <t>FP-45</t>
  </si>
  <si>
    <t>SD-60</t>
  </si>
  <si>
    <t>SD-70</t>
  </si>
  <si>
    <t>SD-90</t>
  </si>
  <si>
    <t>Fuel -8</t>
  </si>
  <si>
    <t>Fuel-idle</t>
  </si>
  <si>
    <t>Type</t>
  </si>
  <si>
    <t>HP</t>
  </si>
  <si>
    <t>X Section</t>
  </si>
  <si>
    <t>Moving C</t>
  </si>
  <si>
    <t>Air Drag C</t>
  </si>
  <si>
    <t>Curvature</t>
  </si>
  <si>
    <t>Car Type</t>
  </si>
  <si>
    <t>Empty Wt</t>
  </si>
  <si>
    <t>Loaded WT</t>
  </si>
  <si>
    <t>HAL Hopper Car</t>
  </si>
  <si>
    <t>Moving Coeff.</t>
  </si>
  <si>
    <t>Air Coeff.</t>
  </si>
  <si>
    <t>Journal Resistance</t>
  </si>
  <si>
    <t>Flange Resistance</t>
  </si>
  <si>
    <t>Air Resistance</t>
  </si>
  <si>
    <t>Locomotive</t>
  </si>
  <si>
    <t># Carloads</t>
  </si>
  <si>
    <t># of Locomotives</t>
  </si>
  <si>
    <t>degrees</t>
  </si>
  <si>
    <t>per cent</t>
  </si>
  <si>
    <t>mph</t>
  </si>
  <si>
    <t>type</t>
  </si>
  <si>
    <t>lbs per ton</t>
  </si>
  <si>
    <t xml:space="preserve">Loaded </t>
  </si>
  <si>
    <t>Resistance</t>
  </si>
  <si>
    <t xml:space="preserve">Air </t>
  </si>
  <si>
    <t>Journal</t>
  </si>
  <si>
    <t>Flange</t>
  </si>
  <si>
    <t>Percentage</t>
  </si>
  <si>
    <t>Air</t>
  </si>
  <si>
    <t>Carload</t>
  </si>
  <si>
    <t xml:space="preserve">Train </t>
  </si>
  <si>
    <t>Total Tonnage</t>
  </si>
  <si>
    <t>Total Air</t>
  </si>
  <si>
    <t>Total Journal</t>
  </si>
  <si>
    <t>Total Flange</t>
  </si>
  <si>
    <t>Available Tractive Effort</t>
  </si>
  <si>
    <t xml:space="preserve">Total </t>
  </si>
  <si>
    <t>Required HP</t>
  </si>
  <si>
    <t>Required # Locomotives</t>
  </si>
  <si>
    <t>Distance</t>
  </si>
  <si>
    <t>HP Required</t>
  </si>
  <si>
    <t>HP Available</t>
  </si>
  <si>
    <t>Cost</t>
  </si>
  <si>
    <t>Fuel--gallons</t>
  </si>
  <si>
    <t>Cost of fuel</t>
  </si>
  <si>
    <t>gallon</t>
  </si>
  <si>
    <t>Ruling Grade</t>
  </si>
  <si>
    <t>Actual Speed</t>
  </si>
  <si>
    <t>Max. Speed</t>
  </si>
  <si>
    <t>Elapsed Time</t>
  </si>
  <si>
    <t>Total Distance</t>
  </si>
  <si>
    <t>Per Shift</t>
  </si>
  <si>
    <t>Hopper Cars</t>
  </si>
  <si>
    <t>Interest</t>
  </si>
  <si>
    <t>Annual Cost</t>
  </si>
  <si>
    <t>Daily Cost</t>
  </si>
  <si>
    <t>Crews</t>
  </si>
  <si>
    <t>GN</t>
  </si>
  <si>
    <t>MILW</t>
  </si>
  <si>
    <t>One way</t>
  </si>
  <si>
    <t>Round trip</t>
  </si>
  <si>
    <t>Helpers</t>
  </si>
  <si>
    <t>Helper Locomotives</t>
  </si>
  <si>
    <t>Per shift</t>
  </si>
  <si>
    <t>SP&amp;S</t>
  </si>
  <si>
    <t>days</t>
  </si>
  <si>
    <t>bushels</t>
  </si>
  <si>
    <t>Total carloads</t>
  </si>
  <si>
    <t>#  Helper locomotives at 2.2%</t>
  </si>
  <si>
    <t>Cost of Fuel</t>
  </si>
  <si>
    <t>Cost of Equipment</t>
  </si>
  <si>
    <t>Road Locomotives</t>
  </si>
  <si>
    <t>Total Cost per day</t>
  </si>
  <si>
    <t>Total Daily Cost</t>
  </si>
  <si>
    <t>Total Employee Cost</t>
  </si>
  <si>
    <t>Per train</t>
  </si>
  <si>
    <t>Per day</t>
  </si>
  <si>
    <t>Helper Crews per day</t>
  </si>
  <si>
    <t>Helper Crew per train</t>
  </si>
  <si>
    <t>Level Distance</t>
  </si>
  <si>
    <t>Total Revenue</t>
  </si>
  <si>
    <t>carloads</t>
  </si>
  <si>
    <t>Total Operating Costs</t>
  </si>
  <si>
    <t>Net</t>
  </si>
  <si>
    <t>% of total Operating Costs</t>
  </si>
  <si>
    <t>% of Revenue</t>
  </si>
  <si>
    <t>Operating Cost per Carload</t>
  </si>
  <si>
    <t>Revenue per Carload</t>
  </si>
  <si>
    <t>Net/Carload</t>
  </si>
  <si>
    <t>Car Fleet Cost/Day</t>
  </si>
  <si>
    <t>Cycle Time/ Days</t>
  </si>
  <si>
    <t>Cars delivered per day, average</t>
  </si>
  <si>
    <t>Locomotive %'</t>
  </si>
  <si>
    <t>Car Fleet %</t>
  </si>
  <si>
    <t>carload rate/55 cars</t>
  </si>
  <si>
    <t>carload rate/110 cars</t>
  </si>
  <si>
    <t>Fuel Cost Per Train</t>
  </si>
  <si>
    <t>Total Cost of Fuel per day</t>
  </si>
  <si>
    <t>Car Fleet Investment</t>
  </si>
  <si>
    <t>Locomotive Investment</t>
  </si>
  <si>
    <t>Total Equipment Investment</t>
  </si>
  <si>
    <t>Total Mileage</t>
  </si>
  <si>
    <t>Total Fuel Cost per Train</t>
  </si>
  <si>
    <t>Net after Fixed Costs</t>
  </si>
  <si>
    <t>% of Operating --Estimate of Fixed Costs</t>
  </si>
  <si>
    <t>Fixed Cost allocated/carload</t>
  </si>
  <si>
    <t>Net After Fully Allocated Costs</t>
  </si>
  <si>
    <t>Net % of Revenue</t>
  </si>
  <si>
    <t>Net % of Fully Allocated Costs</t>
  </si>
  <si>
    <t>Helper Fuel -- 2% grades</t>
  </si>
  <si>
    <t>Cycle Time*</t>
  </si>
  <si>
    <t>Northern Line</t>
  </si>
  <si>
    <t># of Helpers</t>
  </si>
  <si>
    <t># of Carloads</t>
  </si>
  <si>
    <t>Helper Type</t>
  </si>
  <si>
    <t>Train Weight (lbs)</t>
  </si>
  <si>
    <t>Car Weight (lbs)</t>
  </si>
  <si>
    <t>Train weight (tons)</t>
  </si>
  <si>
    <t>Average Train Speed</t>
  </si>
  <si>
    <t>TOTALS</t>
  </si>
  <si>
    <t>Time (Hrs)</t>
  </si>
  <si>
    <t>Westbound Curvature</t>
  </si>
  <si>
    <t>Westbound Grade</t>
  </si>
  <si>
    <t>Eastbound Curvature</t>
  </si>
  <si>
    <t>Eastbound Grade</t>
  </si>
  <si>
    <t>Westbound Loaded</t>
  </si>
  <si>
    <t>Eastbound Empty</t>
  </si>
  <si>
    <t>Westbound Resistance</t>
  </si>
  <si>
    <t>Eastbound Resistance</t>
  </si>
  <si>
    <t>Westbound Air</t>
  </si>
  <si>
    <t>Westbound Journal</t>
  </si>
  <si>
    <t>Westbound Flange</t>
  </si>
  <si>
    <t>Total shipment</t>
  </si>
  <si>
    <t>Tare Ratio</t>
  </si>
  <si>
    <t>TOTAL ROUND TRIP</t>
  </si>
  <si>
    <t>Middle Line</t>
  </si>
  <si>
    <t>Southern Line</t>
  </si>
  <si>
    <t>Eastbound Air</t>
  </si>
  <si>
    <t>Alloted time</t>
  </si>
  <si>
    <t># of Trains/day</t>
  </si>
  <si>
    <t>Freight Car Cost</t>
  </si>
  <si>
    <t>Locomotive Cost</t>
  </si>
  <si>
    <t>R/VC</t>
  </si>
  <si>
    <t>Eastbound Journal</t>
  </si>
  <si>
    <t>Eastbound  Flange</t>
  </si>
  <si>
    <t>Eastbound Curve</t>
  </si>
  <si>
    <t>Westbound Curve</t>
  </si>
  <si>
    <t>Eastbound Flange</t>
  </si>
  <si>
    <t># trains/helper shift</t>
  </si>
  <si>
    <t>Cost of Helper Crew/grain train</t>
  </si>
  <si>
    <t>Total Project Operating Cost</t>
  </si>
  <si>
    <t>GRAIN PROJECT</t>
  </si>
  <si>
    <t xml:space="preserve">   Operating Cost Comparison, Grain Trains, Spokane to Seattle, Great Northern, Milwaukee, SP&amp;S</t>
  </si>
  <si>
    <t>Bushels/carload</t>
  </si>
  <si>
    <t>Pay Per Day</t>
  </si>
  <si>
    <t>Unit Train Carloads</t>
  </si>
  <si>
    <t>Shuttle Train Carloads</t>
  </si>
  <si>
    <t>LINE COMPARISONS</t>
  </si>
  <si>
    <t>Line Density</t>
  </si>
  <si>
    <t>Cycle time change due to congestion</t>
  </si>
  <si>
    <t>Trains per day</t>
  </si>
  <si>
    <t>Cycle time change</t>
  </si>
  <si>
    <t>Index</t>
  </si>
  <si>
    <t>SP&amp;S/NP</t>
  </si>
  <si>
    <t>1. Employment and Equipment Costs</t>
  </si>
  <si>
    <t>2. Cycle Time and Fleet Size</t>
  </si>
  <si>
    <t>3. Cost of Fuel</t>
  </si>
  <si>
    <t>4. Combined OPERATING COST</t>
  </si>
  <si>
    <t>Crew</t>
  </si>
  <si>
    <t>Fuel</t>
  </si>
  <si>
    <t>Per carload</t>
  </si>
  <si>
    <t>Total/train</t>
  </si>
  <si>
    <t>Cost per day</t>
  </si>
  <si>
    <t>60 days</t>
  </si>
  <si>
    <t>Required Car Fleet</t>
  </si>
  <si>
    <t>Equipment</t>
  </si>
  <si>
    <t>Cost of Helper Service</t>
  </si>
  <si>
    <t>Required Road Locomotives</t>
  </si>
  <si>
    <t>Annual Employee Cost</t>
  </si>
  <si>
    <t>% total cost</t>
  </si>
  <si>
    <t>Subtract Helper Grade</t>
  </si>
  <si>
    <t>Bushels</t>
  </si>
  <si>
    <t>1 to 10 cars</t>
  </si>
  <si>
    <t>11-29 cars</t>
  </si>
  <si>
    <t>110 cars</t>
  </si>
  <si>
    <t>Rates, Spokane to Seattle</t>
  </si>
  <si>
    <t>C. hopper car</t>
  </si>
  <si>
    <t>HAL hopper car</t>
  </si>
  <si>
    <t>Capital Cost</t>
  </si>
  <si>
    <t>Throtle Setting reference</t>
  </si>
  <si>
    <t>Adjusted Fuel -- gallons</t>
  </si>
  <si>
    <t>Fuel Adjustment Factor</t>
  </si>
  <si>
    <t>Throttle Adj. Factor</t>
  </si>
  <si>
    <t>30-54 cars</t>
  </si>
  <si>
    <t>55-109 cars</t>
  </si>
  <si>
    <t>Employee working days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</si>
</sst>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#,##0.0"/>
    <numFmt numFmtId="167" formatCode="0.0000%"/>
    <numFmt numFmtId="168" formatCode="0.00000"/>
    <numFmt numFmtId="169" formatCode="#,##0.0000"/>
    <numFmt numFmtId="170" formatCode="&quot;$&quot;#,##0.00"/>
    <numFmt numFmtId="171" formatCode="0.0"/>
    <numFmt numFmtId="172" formatCode="[$-409]h:mm:ss\ AM/PM"/>
    <numFmt numFmtId="173" formatCode="h:mm;@"/>
    <numFmt numFmtId="174" formatCode="00000\-0000"/>
    <numFmt numFmtId="175" formatCode="&quot;$&quot;#,##0"/>
    <numFmt numFmtId="176" formatCode="[$-409]h:mm\ AM/PM;@"/>
    <numFmt numFmtId="177" formatCode="0.000"/>
    <numFmt numFmtId="178" formatCode="h:mm:ss;@"/>
    <numFmt numFmtId="179" formatCode="mm:ss.0;@"/>
    <numFmt numFmtId="180" formatCode="[h]:mm:ss;@"/>
    <numFmt numFmtId="181" formatCode="[$-409]h:mm:ss\ AM/PM;@"/>
    <numFmt numFmtId="182" formatCode="[$-409]m/d/yy\ h:mm\ AM/PM;@"/>
    <numFmt numFmtId="183" formatCode="[$-409]dddd\,\ mmmm\ dd\,\ yyyy"/>
    <numFmt numFmtId="184" formatCode="m/d/yy\ h:m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;[Red]0.0"/>
    <numFmt numFmtId="190" formatCode="0.00;[Red]0.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Alignment="1">
      <alignment shrinkToFit="1"/>
    </xf>
    <xf numFmtId="3" fontId="2" fillId="2" borderId="1" xfId="0" applyNumberFormat="1" applyFont="1" applyFill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0" fontId="0" fillId="4" borderId="1" xfId="0" applyNumberFormat="1" applyFill="1" applyBorder="1" applyAlignment="1">
      <alignment/>
    </xf>
    <xf numFmtId="4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0" fontId="4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3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4" fontId="0" fillId="2" borderId="1" xfId="0" applyNumberFormat="1" applyFill="1" applyBorder="1" applyAlignment="1">
      <alignment/>
    </xf>
    <xf numFmtId="9" fontId="0" fillId="0" borderId="0" xfId="0" applyNumberFormat="1" applyAlignment="1">
      <alignment/>
    </xf>
    <xf numFmtId="9" fontId="0" fillId="2" borderId="1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170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71" fontId="2" fillId="6" borderId="5" xfId="0" applyNumberFormat="1" applyFont="1" applyFill="1" applyBorder="1" applyAlignment="1">
      <alignment/>
    </xf>
    <xf numFmtId="171" fontId="2" fillId="6" borderId="6" xfId="0" applyNumberFormat="1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  <xf numFmtId="0" fontId="0" fillId="2" borderId="0" xfId="0" applyFill="1" applyBorder="1" applyAlignment="1">
      <alignment/>
    </xf>
    <xf numFmtId="10" fontId="0" fillId="2" borderId="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4" borderId="1" xfId="0" applyNumberFormat="1" applyFill="1" applyBorder="1" applyAlignment="1">
      <alignment/>
    </xf>
    <xf numFmtId="175" fontId="0" fillId="4" borderId="1" xfId="0" applyNumberFormat="1" applyFill="1" applyBorder="1" applyAlignment="1">
      <alignment/>
    </xf>
    <xf numFmtId="175" fontId="0" fillId="2" borderId="1" xfId="0" applyNumberFormat="1" applyFill="1" applyBorder="1" applyAlignment="1">
      <alignment/>
    </xf>
    <xf numFmtId="9" fontId="0" fillId="4" borderId="1" xfId="0" applyNumberFormat="1" applyFill="1" applyBorder="1" applyAlignment="1">
      <alignment/>
    </xf>
    <xf numFmtId="170" fontId="0" fillId="2" borderId="1" xfId="0" applyNumberFormat="1" applyFill="1" applyBorder="1" applyAlignment="1">
      <alignment/>
    </xf>
    <xf numFmtId="8" fontId="0" fillId="2" borderId="1" xfId="0" applyNumberFormat="1" applyFill="1" applyBorder="1" applyAlignment="1">
      <alignment/>
    </xf>
    <xf numFmtId="8" fontId="0" fillId="0" borderId="0" xfId="0" applyNumberFormat="1" applyAlignment="1">
      <alignment/>
    </xf>
    <xf numFmtId="175" fontId="2" fillId="2" borderId="1" xfId="0" applyNumberFormat="1" applyFont="1" applyFill="1" applyBorder="1" applyAlignment="1">
      <alignment/>
    </xf>
    <xf numFmtId="6" fontId="0" fillId="2" borderId="1" xfId="0" applyNumberFormat="1" applyFill="1" applyBorder="1" applyAlignment="1">
      <alignment/>
    </xf>
    <xf numFmtId="4" fontId="0" fillId="5" borderId="2" xfId="0" applyNumberFormat="1" applyFill="1" applyBorder="1" applyAlignment="1">
      <alignment/>
    </xf>
    <xf numFmtId="9" fontId="0" fillId="5" borderId="2" xfId="0" applyNumberFormat="1" applyFill="1" applyBorder="1" applyAlignment="1">
      <alignment/>
    </xf>
    <xf numFmtId="0" fontId="0" fillId="7" borderId="1" xfId="0" applyFill="1" applyBorder="1" applyAlignment="1">
      <alignment/>
    </xf>
    <xf numFmtId="171" fontId="2" fillId="6" borderId="4" xfId="0" applyNumberFormat="1" applyFont="1" applyFill="1" applyBorder="1" applyAlignment="1">
      <alignment/>
    </xf>
    <xf numFmtId="0" fontId="0" fillId="0" borderId="7" xfId="0" applyBorder="1" applyAlignment="1">
      <alignment/>
    </xf>
    <xf numFmtId="4" fontId="0" fillId="5" borderId="2" xfId="0" applyNumberFormat="1" applyFill="1" applyBorder="1" applyAlignment="1">
      <alignment wrapText="1"/>
    </xf>
    <xf numFmtId="171" fontId="0" fillId="2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5" borderId="3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4" fontId="0" fillId="5" borderId="14" xfId="0" applyNumberFormat="1" applyFill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7" xfId="0" applyFont="1" applyBorder="1" applyAlignment="1">
      <alignment/>
    </xf>
    <xf numFmtId="2" fontId="0" fillId="0" borderId="7" xfId="0" applyNumberFormat="1" applyBorder="1" applyAlignment="1">
      <alignment/>
    </xf>
    <xf numFmtId="0" fontId="0" fillId="0" borderId="16" xfId="0" applyBorder="1" applyAlignment="1">
      <alignment/>
    </xf>
    <xf numFmtId="2" fontId="2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170" fontId="0" fillId="2" borderId="18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9" fontId="0" fillId="2" borderId="13" xfId="0" applyNumberFormat="1" applyFill="1" applyBorder="1" applyAlignment="1">
      <alignment/>
    </xf>
    <xf numFmtId="0" fontId="0" fillId="2" borderId="15" xfId="0" applyFill="1" applyBorder="1" applyAlignment="1">
      <alignment/>
    </xf>
    <xf numFmtId="175" fontId="0" fillId="2" borderId="4" xfId="0" applyNumberFormat="1" applyFill="1" applyBorder="1" applyAlignment="1">
      <alignment/>
    </xf>
    <xf numFmtId="170" fontId="2" fillId="0" borderId="17" xfId="0" applyNumberFormat="1" applyFont="1" applyBorder="1" applyAlignment="1">
      <alignment/>
    </xf>
    <xf numFmtId="165" fontId="0" fillId="4" borderId="1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0" xfId="0" applyFont="1" applyAlignment="1">
      <alignment/>
    </xf>
    <xf numFmtId="175" fontId="0" fillId="5" borderId="19" xfId="0" applyNumberFormat="1" applyFill="1" applyBorder="1" applyAlignment="1">
      <alignment/>
    </xf>
    <xf numFmtId="175" fontId="2" fillId="5" borderId="19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6" fontId="0" fillId="2" borderId="0" xfId="0" applyNumberFormat="1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2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175" fontId="0" fillId="2" borderId="13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175" fontId="0" fillId="2" borderId="7" xfId="0" applyNumberFormat="1" applyFill="1" applyBorder="1" applyAlignment="1">
      <alignment/>
    </xf>
    <xf numFmtId="175" fontId="0" fillId="2" borderId="16" xfId="0" applyNumberFormat="1" applyFill="1" applyBorder="1" applyAlignment="1">
      <alignment/>
    </xf>
    <xf numFmtId="9" fontId="0" fillId="5" borderId="3" xfId="0" applyNumberFormat="1" applyFill="1" applyBorder="1" applyAlignment="1">
      <alignment/>
    </xf>
    <xf numFmtId="0" fontId="0" fillId="5" borderId="20" xfId="0" applyFill="1" applyBorder="1" applyAlignment="1">
      <alignment/>
    </xf>
    <xf numFmtId="0" fontId="0" fillId="2" borderId="18" xfId="0" applyFill="1" applyBorder="1" applyAlignment="1">
      <alignment/>
    </xf>
    <xf numFmtId="1" fontId="0" fillId="2" borderId="21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 shrinkToFit="1"/>
    </xf>
    <xf numFmtId="0" fontId="1" fillId="0" borderId="0" xfId="0" applyFont="1" applyBorder="1" applyAlignment="1">
      <alignment wrapText="1" shrinkToFit="1"/>
    </xf>
    <xf numFmtId="166" fontId="0" fillId="0" borderId="0" xfId="0" applyNumberFormat="1" applyBorder="1" applyAlignment="1">
      <alignment/>
    </xf>
    <xf numFmtId="1" fontId="0" fillId="2" borderId="22" xfId="0" applyNumberFormat="1" applyFill="1" applyBorder="1" applyAlignment="1">
      <alignment/>
    </xf>
    <xf numFmtId="0" fontId="0" fillId="2" borderId="21" xfId="0" applyFill="1" applyBorder="1" applyAlignment="1">
      <alignment/>
    </xf>
    <xf numFmtId="190" fontId="0" fillId="2" borderId="22" xfId="0" applyNumberFormat="1" applyFill="1" applyBorder="1" applyAlignment="1">
      <alignment/>
    </xf>
    <xf numFmtId="190" fontId="0" fillId="2" borderId="21" xfId="0" applyNumberFormat="1" applyFill="1" applyBorder="1" applyAlignment="1">
      <alignment/>
    </xf>
    <xf numFmtId="171" fontId="0" fillId="0" borderId="0" xfId="0" applyNumberFormat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26" xfId="0" applyFill="1" applyBorder="1" applyAlignment="1">
      <alignment shrinkToFit="1"/>
    </xf>
    <xf numFmtId="0" fontId="0" fillId="2" borderId="8" xfId="0" applyFill="1" applyBorder="1" applyAlignment="1">
      <alignment shrinkToFi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2" borderId="26" xfId="0" applyFill="1" applyBorder="1" applyAlignment="1">
      <alignment/>
    </xf>
    <xf numFmtId="0" fontId="0" fillId="2" borderId="8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6" borderId="9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Z138"/>
  <sheetViews>
    <sheetView tabSelected="1" workbookViewId="0" topLeftCell="A49">
      <selection activeCell="E66" sqref="E66"/>
    </sheetView>
  </sheetViews>
  <sheetFormatPr defaultColWidth="9.140625" defaultRowHeight="12.75"/>
  <cols>
    <col min="1" max="1" width="0.42578125" style="0" customWidth="1"/>
    <col min="2" max="2" width="0.5625" style="0" customWidth="1"/>
    <col min="3" max="3" width="0.42578125" style="0" customWidth="1"/>
    <col min="4" max="4" width="5.421875" style="0" hidden="1" customWidth="1"/>
    <col min="5" max="5" width="29.140625" style="0" customWidth="1"/>
    <col min="6" max="6" width="16.7109375" style="0" customWidth="1"/>
    <col min="7" max="7" width="18.8515625" style="0" customWidth="1"/>
    <col min="8" max="8" width="13.140625" style="0" customWidth="1"/>
    <col min="9" max="9" width="12.28125" style="0" bestFit="1" customWidth="1"/>
    <col min="10" max="10" width="13.8515625" style="0" bestFit="1" customWidth="1"/>
    <col min="11" max="12" width="12.140625" style="0" customWidth="1"/>
    <col min="13" max="13" width="12.57421875" style="0" customWidth="1"/>
    <col min="14" max="14" width="10.421875" style="0" customWidth="1"/>
    <col min="15" max="15" width="10.28125" style="0" customWidth="1"/>
    <col min="16" max="16" width="11.140625" style="0" customWidth="1"/>
    <col min="17" max="19" width="10.140625" style="0" customWidth="1"/>
    <col min="20" max="20" width="12.28125" style="0" customWidth="1"/>
    <col min="22" max="22" width="10.00390625" style="0" customWidth="1"/>
    <col min="23" max="23" width="10.140625" style="0" customWidth="1"/>
    <col min="24" max="24" width="10.7109375" style="0" customWidth="1"/>
    <col min="25" max="25" width="10.28125" style="0" customWidth="1"/>
    <col min="26" max="26" width="10.140625" style="0" bestFit="1" customWidth="1"/>
    <col min="27" max="27" width="12.57421875" style="0" customWidth="1"/>
    <col min="28" max="28" width="16.00390625" style="0" customWidth="1"/>
    <col min="34" max="34" width="10.8515625" style="0" customWidth="1"/>
  </cols>
  <sheetData>
    <row r="2" spans="5:25" ht="12.75">
      <c r="E2" s="136" t="s">
        <v>177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5:25" ht="12.75">
      <c r="E3" s="139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5:25" ht="12.75"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4"/>
    </row>
    <row r="5" spans="15:16" ht="12.75">
      <c r="O5" s="34"/>
      <c r="P5" s="34"/>
    </row>
    <row r="6" spans="5:16" ht="18">
      <c r="E6" s="82" t="s">
        <v>182</v>
      </c>
      <c r="H6" s="33"/>
      <c r="J6" s="33"/>
      <c r="K6" s="33"/>
      <c r="O6" s="34"/>
      <c r="P6" s="34"/>
    </row>
    <row r="7" spans="5:26" ht="25.5">
      <c r="E7" s="59" t="s">
        <v>94</v>
      </c>
      <c r="F7" s="29">
        <v>1.1</v>
      </c>
      <c r="G7" s="60"/>
      <c r="H7" s="61" t="s">
        <v>75</v>
      </c>
      <c r="I7" s="60"/>
      <c r="J7" s="61"/>
      <c r="K7" s="60"/>
      <c r="L7" s="60"/>
      <c r="M7" s="61" t="s">
        <v>74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2"/>
    </row>
    <row r="8" spans="5:78" ht="15.75">
      <c r="E8" s="63" t="s">
        <v>82</v>
      </c>
      <c r="F8" s="10" t="s">
        <v>150</v>
      </c>
      <c r="G8" s="10" t="s">
        <v>151</v>
      </c>
      <c r="H8" s="10" t="s">
        <v>143</v>
      </c>
      <c r="I8" s="10"/>
      <c r="J8" s="10"/>
      <c r="K8" s="10"/>
      <c r="L8" s="10"/>
      <c r="M8" s="133" t="s">
        <v>136</v>
      </c>
      <c r="N8" s="134"/>
      <c r="O8" s="134"/>
      <c r="P8" s="134"/>
      <c r="Q8" s="135"/>
      <c r="R8" s="112"/>
      <c r="S8" s="112"/>
      <c r="T8" s="10"/>
      <c r="U8" s="10"/>
      <c r="V8" s="10"/>
      <c r="W8" s="10"/>
      <c r="X8" s="10"/>
      <c r="Y8" s="10"/>
      <c r="Z8" s="64"/>
      <c r="AA8" s="21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5:78" ht="12.75">
      <c r="E9" s="65" t="s">
        <v>30</v>
      </c>
      <c r="F9" s="51" t="s">
        <v>12</v>
      </c>
      <c r="G9" s="51" t="str">
        <f>F9</f>
        <v>C. Hopper Car</v>
      </c>
      <c r="H9" s="6">
        <v>20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64"/>
      <c r="AA9" s="57"/>
      <c r="AB9" s="26"/>
      <c r="AC9" s="26"/>
      <c r="AD9" s="26"/>
      <c r="AE9" s="26"/>
      <c r="AF9" s="26"/>
      <c r="AG9" s="26"/>
      <c r="AH9" s="26"/>
      <c r="AI9" s="109"/>
      <c r="AJ9" s="109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</row>
    <row r="10" spans="5:78" ht="29.25" customHeight="1">
      <c r="E10" s="65" t="s">
        <v>138</v>
      </c>
      <c r="F10" s="6">
        <v>55</v>
      </c>
      <c r="G10" s="6">
        <f>F10</f>
        <v>55</v>
      </c>
      <c r="H10" s="66" t="s">
        <v>146</v>
      </c>
      <c r="I10" s="66" t="s">
        <v>147</v>
      </c>
      <c r="J10" s="9" t="s">
        <v>64</v>
      </c>
      <c r="K10" s="67" t="s">
        <v>73</v>
      </c>
      <c r="L10" s="67" t="s">
        <v>72</v>
      </c>
      <c r="M10" s="9" t="s">
        <v>145</v>
      </c>
      <c r="N10" s="66" t="s">
        <v>152</v>
      </c>
      <c r="O10" s="9" t="s">
        <v>65</v>
      </c>
      <c r="P10" s="9" t="s">
        <v>66</v>
      </c>
      <c r="Q10" s="9" t="s">
        <v>68</v>
      </c>
      <c r="R10" s="66" t="s">
        <v>217</v>
      </c>
      <c r="S10" s="114" t="s">
        <v>215</v>
      </c>
      <c r="T10" s="9" t="s">
        <v>94</v>
      </c>
      <c r="U10" s="66" t="s">
        <v>154</v>
      </c>
      <c r="V10" s="66" t="s">
        <v>155</v>
      </c>
      <c r="W10" s="66" t="s">
        <v>156</v>
      </c>
      <c r="X10" s="66" t="s">
        <v>147</v>
      </c>
      <c r="Y10" s="66" t="s">
        <v>171</v>
      </c>
      <c r="Z10" s="64"/>
      <c r="AA10" s="58" t="s">
        <v>30</v>
      </c>
      <c r="AB10" s="3"/>
      <c r="AC10" s="3" t="s">
        <v>34</v>
      </c>
      <c r="AD10" s="3" t="s">
        <v>35</v>
      </c>
      <c r="AE10" s="15" t="s">
        <v>26</v>
      </c>
      <c r="AF10" s="16" t="s">
        <v>31</v>
      </c>
      <c r="AG10" s="17" t="s">
        <v>32</v>
      </c>
      <c r="AH10" s="3" t="s">
        <v>3</v>
      </c>
      <c r="AI10" s="110" t="s">
        <v>206</v>
      </c>
      <c r="AJ10" s="58" t="s">
        <v>213</v>
      </c>
      <c r="AK10" s="108"/>
      <c r="AL10" s="50"/>
      <c r="AM10" s="26"/>
      <c r="AN10" s="20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</row>
    <row r="11" spans="5:78" ht="12.75">
      <c r="E11" s="65" t="s">
        <v>39</v>
      </c>
      <c r="F11" s="51" t="s">
        <v>16</v>
      </c>
      <c r="G11" s="51" t="s">
        <v>16</v>
      </c>
      <c r="H11" s="90">
        <v>0.05</v>
      </c>
      <c r="I11" s="12">
        <v>0.022</v>
      </c>
      <c r="J11" s="6">
        <v>20</v>
      </c>
      <c r="K11" s="10">
        <v>20</v>
      </c>
      <c r="L11" s="31">
        <f>IF(O11&lt;=P11,O11/N11*308,P11/N11*308)</f>
        <v>9.952814448570672</v>
      </c>
      <c r="M11" s="68">
        <f>IF(J11=0,0,J11/L11)</f>
        <v>2.0094818509222994</v>
      </c>
      <c r="N11" s="38">
        <f>SUM(U11:Y11)</f>
        <v>557028.3690756614</v>
      </c>
      <c r="O11" s="38">
        <f>N11*K11/308</f>
        <v>36170.673316601395</v>
      </c>
      <c r="P11" s="38">
        <f>$F$12*(VLOOKUP($F$11,$AA$20:$AI$28,4,0))+IF(I11&gt;1.8%,$F$14*(VLOOKUP($F$13,$AA$20:$AI$28,4,0)),0)</f>
        <v>18000</v>
      </c>
      <c r="Q11" s="69">
        <f>$F$12*J11/K11*VLOOKUP($F$11,$AA$20:$AD$28,2,0)*O11/P11+$F$14*J11/K11*VLOOKUP($F$13,$AA$20:$AD$28,2,0)*O11/P11</f>
        <v>2021.9406383980177</v>
      </c>
      <c r="R11" s="115">
        <f>IF(O11/P11&gt;1,1,O11/P11)</f>
        <v>1</v>
      </c>
      <c r="S11" s="38">
        <f>IF(COUNTIF($AL$20:$AN$27,R11),VLOOKUP(R11,$AL$20:$AN$27,3,0)*Q11,Q11*R11)</f>
        <v>2021.9406383980177</v>
      </c>
      <c r="T11" s="70">
        <f>S11*$F$7</f>
        <v>2224.1347022378195</v>
      </c>
      <c r="U11" s="38">
        <f>$F$12*((VLOOKUP($F$11,$AA$20:$AI$28,7,0)*VLOOKUP($F$11,$AA$20:$AI$28,5,0)*K11*K11)/(VLOOKUP($F$11,$AA$20:$AI$28,9,0)/VLOOKUP($F$11,$AA$20:$AI$28,8,0))/VLOOKUP($F$11,$AA$20:$AI$28,8,0))+((VLOOKUP($F$9,$AA$11:$AH$17,4,0)*VLOOKUP($F$9,$AA$11:$AH$17,5,0)*K11*K11)/(((VLOOKUP($F$9,$AA$11:$AH$17,7,0)/2000))/((VLOOKUP($F$9,$AA$11:$AH$17,8,0))))/VLOOKUP($F$9,$AA$11:$AH$17,8,0))*$F$17</f>
        <v>1781.9757755724</v>
      </c>
      <c r="V11" s="38">
        <f>$F$12*(1.3+0.29/((VLOOKUP($F$11,$AA$20:$AI$28,9,0))/VLOOKUP($F$11,$AA$20:$AI$28,8,0)))+(1.3+0.29/((VLOOKUP($F$9,$AA$11:$AH$17,7,0))/VLOOKUP($F$9,$AA$11:$AH$17,8,0)))*$F$17</f>
        <v>11076.073300089085</v>
      </c>
      <c r="W11" s="38">
        <f>$F$12*(VLOOKUP($F$11,$AA$20:$AI$28,6,0)*K11)+(VLOOKUP($F$9,$AA$11:$AH$17,3,0)*K11)*$F$17</f>
        <v>7666.799999999999</v>
      </c>
      <c r="X11" s="38">
        <f>$F$12*(20*I11*(VLOOKUP($F$11,$AA$20:$AI$28,9,0)))+(20*I11*(VLOOKUP($F$9,$AA$10:$AH$17,7,0)/2000))*$F$17</f>
        <v>502439.5199999999</v>
      </c>
      <c r="Y11" s="38">
        <f>0.8*F$17*H11*100</f>
        <v>34064.00000000001</v>
      </c>
      <c r="Z11" s="64"/>
      <c r="AA11" s="127" t="s">
        <v>10</v>
      </c>
      <c r="AB11" s="128"/>
      <c r="AC11" s="4">
        <v>0.045</v>
      </c>
      <c r="AD11" s="4">
        <v>0.0005</v>
      </c>
      <c r="AE11" s="4">
        <v>100</v>
      </c>
      <c r="AF11" s="18">
        <v>45000</v>
      </c>
      <c r="AG11" s="18">
        <v>180000</v>
      </c>
      <c r="AH11" s="4">
        <v>4</v>
      </c>
      <c r="AI11" s="18">
        <f aca="true" t="shared" si="0" ref="AI11:AI17">(AG11-AF11)/58</f>
        <v>2327.5862068965516</v>
      </c>
      <c r="AJ11" s="18">
        <v>50000</v>
      </c>
      <c r="AK11" s="108"/>
      <c r="AL11" s="50"/>
      <c r="AM11" s="20"/>
      <c r="AN11" s="20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5:78" ht="12.75">
      <c r="E12" s="65" t="s">
        <v>41</v>
      </c>
      <c r="F12" s="6">
        <v>4</v>
      </c>
      <c r="G12" s="6">
        <v>3</v>
      </c>
      <c r="H12" s="90">
        <v>0.01</v>
      </c>
      <c r="I12" s="12">
        <v>0.001</v>
      </c>
      <c r="J12" s="6">
        <v>309</v>
      </c>
      <c r="K12" s="10">
        <v>20</v>
      </c>
      <c r="L12" s="32">
        <f>IF(O12&lt;=P12,O12/N12*308,P12/N12*308)</f>
        <v>19.999999999999996</v>
      </c>
      <c r="M12" s="68">
        <f>IF(J12=0,0,J12/L12)</f>
        <v>15.450000000000003</v>
      </c>
      <c r="N12" s="38">
        <f>SUM(U12:Y12)</f>
        <v>50175.809075661484</v>
      </c>
      <c r="O12" s="38">
        <f>IF(J12&gt;0,N12*K12/308,0)</f>
        <v>3258.169420497499</v>
      </c>
      <c r="P12" s="38">
        <f>$F$12*(VLOOKUP($F$11,$AA$20:$AI$28,4,0))+IF(I12&gt;1.8%,$F$14*(VLOOKUP($F$13,$AA$20:$AI$28,4,0)),0)</f>
        <v>12000</v>
      </c>
      <c r="Q12" s="69">
        <f>$F$12*J12/K12*VLOOKUP($F$11,$AA$20:$AD$28,2,0)*O12/P12+$F$14*J12/K12*VLOOKUP($F$13,$AA$20:$AD$28,2,0)*O12/P12</f>
        <v>4220.901466289651</v>
      </c>
      <c r="R12" s="115">
        <f>ABS((IF(O12/P12&gt;1,1,O12/P12)))</f>
        <v>0.27151411837479156</v>
      </c>
      <c r="S12" s="38">
        <f>IF(COUNTIF($AL$20:$AN$27,R12),VLOOKUP(R12,$AL$20:$AN$27,3,0)*Q12,Q12*R12)</f>
        <v>1146.0343403664995</v>
      </c>
      <c r="T12" s="70">
        <f>S12*$F$7</f>
        <v>1260.6377744031495</v>
      </c>
      <c r="U12" s="38">
        <f>$F$12*((VLOOKUP($F$11,$AA$20:$AI$28,7,0)*VLOOKUP($F$11,$AA$20:$AI$28,5,0)*K12*K12)/(VLOOKUP($F$11,$AA$20:$AI$28,9,0)/VLOOKUP($F$11,$AA$20:$AI$28,8,0))/VLOOKUP($F$11,$AA$20:$AI$28,8,0))+((VLOOKUP($F$9,$AA$11:$AH$17,4,0)*VLOOKUP($F$9,$AA$11:$AH$17,5,0)*K12*K12)/(((VLOOKUP($F$9,$AA$11:$AH$17,7,0)/2000))/((VLOOKUP($F$9,$AA$11:$AH$17,8,0))))/VLOOKUP($F$9,$AA$11:$AH$17,8,0))*$F$17</f>
        <v>1781.9757755724</v>
      </c>
      <c r="V12" s="38">
        <f>$F$12*(1.3+0.29/((VLOOKUP($F$11,$AA$20:$AI$28,9,0))/VLOOKUP($F$11,$AA$20:$AI$28,8,0)))+(1.3+0.29/((VLOOKUP($F$9,$AA$11:$AH$17,7,0))/VLOOKUP($F$9,$AA$11:$AH$17,8,0)))*$F$17</f>
        <v>11076.073300089085</v>
      </c>
      <c r="W12" s="38">
        <f>$F$12*(VLOOKUP($F$11,$AA$20:$AI$28,6,0)*K12)+(VLOOKUP($F$9,$AA$11:$AH$17,3,0)*K12)*$F$17</f>
        <v>7666.799999999999</v>
      </c>
      <c r="X12" s="38">
        <f>$F$12*(20*I12*(VLOOKUP($F$11,$AA$20:$AI$28,9,0)))+(20*I12*(VLOOKUP($F$9,$AA$10:$AH$17,7,0)/2000))*$F$17</f>
        <v>22838.16</v>
      </c>
      <c r="Y12" s="38">
        <f>0.8*F$17*H12*100</f>
        <v>6812.8</v>
      </c>
      <c r="Z12" s="64"/>
      <c r="AA12" s="127" t="s">
        <v>12</v>
      </c>
      <c r="AB12" s="128"/>
      <c r="AC12" s="4">
        <v>0.045</v>
      </c>
      <c r="AD12" s="4">
        <v>0.0005</v>
      </c>
      <c r="AE12" s="4">
        <v>140</v>
      </c>
      <c r="AF12" s="18">
        <v>67000</v>
      </c>
      <c r="AG12" s="18">
        <v>268000</v>
      </c>
      <c r="AH12" s="4">
        <v>4</v>
      </c>
      <c r="AI12" s="18">
        <f t="shared" si="0"/>
        <v>3465.5172413793102</v>
      </c>
      <c r="AJ12" s="18">
        <v>80000</v>
      </c>
      <c r="AK12" s="108"/>
      <c r="AL12" s="50"/>
      <c r="AM12" s="20"/>
      <c r="AN12" s="20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5:78" ht="12.75">
      <c r="E13" s="65" t="s">
        <v>139</v>
      </c>
      <c r="F13" s="51" t="s">
        <v>16</v>
      </c>
      <c r="G13" s="51" t="s">
        <v>16</v>
      </c>
      <c r="H13" s="90">
        <v>0</v>
      </c>
      <c r="I13" s="12">
        <v>0</v>
      </c>
      <c r="J13" s="6">
        <v>0</v>
      </c>
      <c r="K13" s="10">
        <v>20</v>
      </c>
      <c r="L13" s="32">
        <f>IF(O13&lt;=P13,O13/N13*308,P13/N13*308)</f>
        <v>0</v>
      </c>
      <c r="M13" s="68">
        <f>IF(J13=0,0,J13/L13)</f>
        <v>0</v>
      </c>
      <c r="N13" s="38">
        <f>SUM(U13:Y13)</f>
        <v>20524.849075661485</v>
      </c>
      <c r="O13" s="38">
        <f>IF(J13&gt;0,N13*K13/308,0)</f>
        <v>0</v>
      </c>
      <c r="P13" s="38">
        <f>$F$12*(VLOOKUP($F$11,$AA$20:$AI$28,4,0))+IF(I13&gt;1.8%,$F$14*(VLOOKUP($F$13,$AA$20:$AI$28,4,0)),0)</f>
        <v>12000</v>
      </c>
      <c r="Q13" s="69">
        <f>$F$12*J13/K13*VLOOKUP($F$11,$AA$20:$AD$28,2,0)*O13/P13+$F$14*J13/K13*VLOOKUP($F$13,$AA$20:$AD$28,2,0)*O13/P13</f>
        <v>0</v>
      </c>
      <c r="R13" s="115">
        <f>IF(O13/P13&gt;1,1,O13/P13)</f>
        <v>0</v>
      </c>
      <c r="S13" s="38">
        <f>IF(COUNTIF($AL$20:$AN$27,R13),VLOOKUP(R13,$AL$20:$AN$27,3,0)*Q13,Q13*R13)</f>
        <v>0</v>
      </c>
      <c r="T13" s="70">
        <f>S13*$F$7</f>
        <v>0</v>
      </c>
      <c r="U13" s="38">
        <f>$F$12*((VLOOKUP($F$11,$AA$20:$AI$28,7,0)*VLOOKUP($F$11,$AA$20:$AI$28,5,0)*K13*K13)/(VLOOKUP($F$11,$AA$20:$AI$28,9,0)/VLOOKUP($F$11,$AA$20:$AI$28,8,0))/VLOOKUP($F$11,$AA$20:$AI$28,8,0))+((VLOOKUP($F$9,$AA$11:$AH$17,4,0)*VLOOKUP($F$9,$AA$11:$AH$17,5,0)*K13*K13)/(((VLOOKUP($F$9,$AA$11:$AH$17,7,0)/2000))/((VLOOKUP($F$9,$AA$11:$AH$17,8,0))))/VLOOKUP($F$9,$AA$11:$AH$17,8,0))*$F$17</f>
        <v>1781.9757755724</v>
      </c>
      <c r="V13" s="38">
        <f>$F$12*(1.3+0.29/((VLOOKUP($F$11,$AA$20:$AI$28,9,0))/VLOOKUP($F$11,$AA$20:$AI$28,8,0)))+(1.3+0.29/((VLOOKUP($F$9,$AA$11:$AH$17,7,0))/VLOOKUP($F$9,$AA$11:$AH$17,8,0)))*$F$17</f>
        <v>11076.073300089085</v>
      </c>
      <c r="W13" s="38">
        <f>$F$12*(VLOOKUP($F$11,$AA$20:$AI$28,6,0)*K13)+(VLOOKUP($F$9,$AA$11:$AH$17,3,0)*K13)*$F$17</f>
        <v>7666.799999999999</v>
      </c>
      <c r="X13" s="38">
        <f>$F$12*(20*I13*(VLOOKUP($F$11,$AA$20:$AI$28,9,0)))+(20*I13*(VLOOKUP($F$9,$AA$10:$AH$17,7,0)/2000))*$F$17</f>
        <v>0</v>
      </c>
      <c r="Y13" s="38">
        <f>0.8*F$17*H13*100</f>
        <v>0</v>
      </c>
      <c r="Z13" s="64"/>
      <c r="AA13" s="127" t="s">
        <v>33</v>
      </c>
      <c r="AB13" s="128"/>
      <c r="AC13" s="4">
        <v>0.045</v>
      </c>
      <c r="AD13" s="4">
        <v>0.0005</v>
      </c>
      <c r="AE13" s="4">
        <v>140</v>
      </c>
      <c r="AF13" s="18">
        <v>71000</v>
      </c>
      <c r="AG13" s="18">
        <v>286000</v>
      </c>
      <c r="AH13" s="4">
        <v>4</v>
      </c>
      <c r="AI13" s="18">
        <f t="shared" si="0"/>
        <v>3706.896551724138</v>
      </c>
      <c r="AJ13" s="18">
        <v>95000</v>
      </c>
      <c r="AK13" s="108"/>
      <c r="AL13" s="50"/>
      <c r="AM13" s="20"/>
      <c r="AN13" s="20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5:78" ht="12.75">
      <c r="E14" s="65" t="s">
        <v>137</v>
      </c>
      <c r="F14" s="6">
        <v>2</v>
      </c>
      <c r="G14" s="6">
        <v>0</v>
      </c>
      <c r="H14" s="90">
        <v>0</v>
      </c>
      <c r="I14" s="12">
        <v>0</v>
      </c>
      <c r="J14" s="6">
        <v>0</v>
      </c>
      <c r="K14" s="10">
        <f>$H$9</f>
        <v>20</v>
      </c>
      <c r="L14" s="32">
        <f>IF(O14&lt;=P14,O14/N14*308,P14/N14*308)</f>
        <v>0</v>
      </c>
      <c r="M14" s="68">
        <f>IF(J14=0,0,J14/L14)</f>
        <v>0</v>
      </c>
      <c r="N14" s="38">
        <f>SUM(U14:Y14)</f>
        <v>20524.849075661485</v>
      </c>
      <c r="O14" s="38">
        <f>IF(J14&gt;0,N14*K14/308,0)</f>
        <v>0</v>
      </c>
      <c r="P14" s="38">
        <f>$F$12*(VLOOKUP($F$11,$AA$20:$AI$28,4,0))+IF(I14&gt;1.8%,$F$14*(VLOOKUP($F$13,$AA$20:$AI$28,4,0)),0)</f>
        <v>12000</v>
      </c>
      <c r="Q14" s="69">
        <f>$F$12*J14/K14*VLOOKUP($F$11,$AA$20:$AD$28,2,0)*O14/P14+$F$14*J14/K14*VLOOKUP($F$13,$AA$20:$AD$28,2,0)*O14/P14</f>
        <v>0</v>
      </c>
      <c r="R14" s="115">
        <f>IF(O14/P14&gt;1,1,O14/P14)</f>
        <v>0</v>
      </c>
      <c r="S14" s="38">
        <f>IF(COUNTIF($AL$20:$AN$27,R14),VLOOKUP(R14,$AL$20:$AN$27,3,0)*Q14,Q14*R14)</f>
        <v>0</v>
      </c>
      <c r="T14" s="70">
        <f>S14*$F$7</f>
        <v>0</v>
      </c>
      <c r="U14" s="38">
        <f>$F$12*((VLOOKUP($F$11,$AA$20:$AI$28,7,0)*VLOOKUP($F$11,$AA$20:$AI$28,5,0)*K14*K14)/(VLOOKUP($F$11,$AA$20:$AI$28,9,0)/VLOOKUP($F$11,$AA$20:$AI$28,8,0))/VLOOKUP($F$11,$AA$20:$AI$28,8,0))+((VLOOKUP($F$9,$AA$11:$AH$17,4,0)*VLOOKUP($F$9,$AA$11:$AH$17,5,0)*K14*K14)/(((VLOOKUP($F$9,$AA$11:$AH$17,7,0)/2000))/((VLOOKUP($F$9,$AA$11:$AH$17,8,0))))/VLOOKUP($F$9,$AA$11:$AH$17,8,0))*$F$17</f>
        <v>1781.9757755724</v>
      </c>
      <c r="V14" s="38">
        <f>$F$12*(1.3+0.29/((VLOOKUP($F$11,$AA$20:$AI$28,9,0))/VLOOKUP($F$11,$AA$20:$AI$28,8,0)))+(1.3+0.29/((VLOOKUP($F$9,$AA$11:$AH$17,7,0))/VLOOKUP($F$9,$AA$11:$AH$17,8,0)))*$F$17</f>
        <v>11076.073300089085</v>
      </c>
      <c r="W14" s="38">
        <f>$F$12*(VLOOKUP($F$11,$AA$20:$AI$28,6,0)*K14)+(VLOOKUP($F$9,$AA$11:$AH$17,3,0)*K14)*$F$17</f>
        <v>7666.799999999999</v>
      </c>
      <c r="X14" s="38">
        <f>$F$12*(20*I14*(VLOOKUP($F$11,$AA$20:$AI$28,9,0)))+(20*I14*(VLOOKUP($F$9,$AA$10:$AH$17,7,0)/2000))*$F$17</f>
        <v>0</v>
      </c>
      <c r="Y14" s="38">
        <f>0.8*F$17*H14*100</f>
        <v>0</v>
      </c>
      <c r="Z14" s="64"/>
      <c r="AA14" s="127" t="s">
        <v>11</v>
      </c>
      <c r="AB14" s="128"/>
      <c r="AC14" s="4">
        <v>0.045</v>
      </c>
      <c r="AD14" s="4">
        <v>0.0005</v>
      </c>
      <c r="AE14" s="4">
        <v>170</v>
      </c>
      <c r="AF14" s="18">
        <v>50000</v>
      </c>
      <c r="AG14" s="18">
        <v>180000</v>
      </c>
      <c r="AH14" s="4">
        <v>4</v>
      </c>
      <c r="AI14" s="18">
        <f t="shared" si="0"/>
        <v>2241.3793103448274</v>
      </c>
      <c r="AJ14" s="18">
        <v>65000</v>
      </c>
      <c r="AK14" s="108"/>
      <c r="AL14" s="50"/>
      <c r="AM14" s="20"/>
      <c r="AN14" s="20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5:78" ht="12.75">
      <c r="E15" s="65" t="s">
        <v>141</v>
      </c>
      <c r="F15" s="5">
        <f>VLOOKUP(F9,$AA$11:$AH$17,7,0)</f>
        <v>268000</v>
      </c>
      <c r="G15" s="5">
        <f>VLOOKUP(F9,$AA$11:$AH$17,6,0)</f>
        <v>67000</v>
      </c>
      <c r="H15" s="90">
        <v>0</v>
      </c>
      <c r="I15" s="12">
        <v>0</v>
      </c>
      <c r="J15" s="6">
        <v>0</v>
      </c>
      <c r="K15" s="10">
        <f>$H$9</f>
        <v>20</v>
      </c>
      <c r="L15" s="52">
        <f>IF(O15&lt;=P15,O15/N15*308,P15/N15*308)</f>
        <v>0</v>
      </c>
      <c r="M15" s="68">
        <f>IF(J15=0,0,J15/L15)</f>
        <v>0</v>
      </c>
      <c r="N15" s="38">
        <f>SUM(U15:Y15)</f>
        <v>20524.849075661485</v>
      </c>
      <c r="O15" s="38">
        <f>IF(J15&gt;0,N15*K15/308,0)</f>
        <v>0</v>
      </c>
      <c r="P15" s="38">
        <f>$F$12*(VLOOKUP($F$11,$AA$20:$AI$28,4,0))+IF(I15&gt;1.8%,$F$14*(VLOOKUP($F$13,$AA$20:$AI$28,4,0)),0)</f>
        <v>12000</v>
      </c>
      <c r="Q15" s="69">
        <f>$F$12*J15/K15*VLOOKUP($F$11,$AA$20:$AD$28,2,0)*O15/P15+$F$14*J15/K15*VLOOKUP($F$13,$AA$20:$AD$28,2,0)*O15/P15</f>
        <v>0</v>
      </c>
      <c r="R15" s="115">
        <f>IF(O15/P15&gt;1,1,O15/P15)</f>
        <v>0</v>
      </c>
      <c r="S15" s="38">
        <f>IF(COUNTIF($AL$20:$AN$27,R15),VLOOKUP(R15,$AL$20:$AN$27,3,0)*Q15,Q15*R15)</f>
        <v>0</v>
      </c>
      <c r="T15" s="70">
        <f>S15*$F$7</f>
        <v>0</v>
      </c>
      <c r="U15" s="38">
        <f>$F$12*((VLOOKUP($F$11,$AA$20:$AI$28,7,0)*VLOOKUP($F$11,$AA$20:$AI$28,5,0)*K15*K15)/(VLOOKUP($F$11,$AA$20:$AI$28,9,0)/VLOOKUP($F$11,$AA$20:$AI$28,8,0))/VLOOKUP($F$11,$AA$20:$AI$28,8,0))+((VLOOKUP($F$9,$AA$11:$AH$17,4,0)*VLOOKUP($F$9,$AA$11:$AH$17,5,0)*K15*K15)/(((VLOOKUP($F$9,$AA$11:$AH$17,7,0)/2000))/((VLOOKUP($F$9,$AA$11:$AH$17,8,0))))/VLOOKUP($F$9,$AA$11:$AH$17,8,0))*$F$17</f>
        <v>1781.9757755724</v>
      </c>
      <c r="V15" s="38">
        <f>$F$12*(1.3+0.29/((VLOOKUP($F$11,$AA$20:$AI$28,9,0))/VLOOKUP($F$11,$AA$20:$AI$28,8,0)))+(1.3+0.29/((VLOOKUP($F$9,$AA$11:$AH$17,7,0))/VLOOKUP($F$9,$AA$11:$AH$17,8,0)))*$F$17</f>
        <v>11076.073300089085</v>
      </c>
      <c r="W15" s="38">
        <f>$F$12*(VLOOKUP($F$11,$AA$20:$AI$28,6,0)*K15)+(VLOOKUP($F$9,$AA$11:$AH$17,3,0)*K15)*$F$17</f>
        <v>7666.799999999999</v>
      </c>
      <c r="X15" s="38">
        <f>$F$12*(20*I15*(VLOOKUP($F$11,$AA$20:$AI$28,9,0)))+(20*I15*(VLOOKUP($F$9,$AA$10:$AH$17,7,0)/2000))*$F$17</f>
        <v>0</v>
      </c>
      <c r="Y15" s="38">
        <f>0.8*F$17*H15*100</f>
        <v>0</v>
      </c>
      <c r="Z15" s="64"/>
      <c r="AA15" s="58" t="s">
        <v>7</v>
      </c>
      <c r="AB15" s="3"/>
      <c r="AC15" s="4">
        <v>0.045</v>
      </c>
      <c r="AD15" s="4">
        <v>0.0003</v>
      </c>
      <c r="AE15" s="4">
        <v>120</v>
      </c>
      <c r="AF15" s="18">
        <v>50000</v>
      </c>
      <c r="AG15" s="18">
        <v>60000</v>
      </c>
      <c r="AH15" s="4">
        <v>4</v>
      </c>
      <c r="AI15" s="18">
        <f t="shared" si="0"/>
        <v>172.41379310344828</v>
      </c>
      <c r="AJ15" s="18">
        <v>180000</v>
      </c>
      <c r="AK15" s="108"/>
      <c r="AL15" s="50"/>
      <c r="AM15" s="20"/>
      <c r="AN15" s="20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5:78" ht="12.75">
      <c r="E16" s="65" t="s">
        <v>140</v>
      </c>
      <c r="F16" s="5">
        <f>F10*F15+F12*2000*VLOOKUP(F11,$AA$20:$AI$28,9,0)+F14*2000*VLOOKUP(F13,$AA$20:$AI$28,9,0)</f>
        <v>17032000</v>
      </c>
      <c r="G16" s="5">
        <f>G10*G15+G12*2000*VLOOKUP(G11,$AA$20:$AI$28,9,0)+G14*2000*VLOOKUP(G13,$AA$20:$AI$28,9,0)</f>
        <v>4831000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64"/>
      <c r="AA16" s="131" t="s">
        <v>1</v>
      </c>
      <c r="AB16" s="132"/>
      <c r="AC16" s="4">
        <v>0.045</v>
      </c>
      <c r="AD16" s="4">
        <v>0.0007</v>
      </c>
      <c r="AE16" s="4">
        <v>80</v>
      </c>
      <c r="AF16" s="18">
        <v>35000</v>
      </c>
      <c r="AG16" s="18">
        <v>80000</v>
      </c>
      <c r="AH16" s="4">
        <v>4</v>
      </c>
      <c r="AI16" s="18">
        <f t="shared" si="0"/>
        <v>775.8620689655172</v>
      </c>
      <c r="AJ16" s="18">
        <v>65000</v>
      </c>
      <c r="AK16" s="108"/>
      <c r="AL16" s="50"/>
      <c r="AM16" s="20"/>
      <c r="AN16" s="20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5:78" ht="12.75">
      <c r="E17" s="65" t="s">
        <v>142</v>
      </c>
      <c r="F17" s="5">
        <f>F16/2000</f>
        <v>8516</v>
      </c>
      <c r="G17" s="5">
        <f>G16/2000</f>
        <v>2415.5</v>
      </c>
      <c r="H17" s="10"/>
      <c r="I17" s="71" t="s">
        <v>144</v>
      </c>
      <c r="J17" s="71">
        <f>SUM(J11:J15)</f>
        <v>329</v>
      </c>
      <c r="K17" s="71"/>
      <c r="L17" s="71"/>
      <c r="M17" s="72">
        <f>SUM(M11:M15)</f>
        <v>17.4594818509223</v>
      </c>
      <c r="N17" s="71"/>
      <c r="O17" s="71"/>
      <c r="P17" s="71"/>
      <c r="Q17" s="73">
        <f>SUM(Q11:Q15)</f>
        <v>6242.842104687668</v>
      </c>
      <c r="R17" s="73"/>
      <c r="S17" s="73"/>
      <c r="T17" s="74">
        <f>SUM(T11:T15)</f>
        <v>3484.772476640969</v>
      </c>
      <c r="U17" s="10"/>
      <c r="V17" s="10"/>
      <c r="W17" s="10"/>
      <c r="X17" s="10"/>
      <c r="Y17" s="10"/>
      <c r="Z17" s="64"/>
      <c r="AA17" s="131" t="s">
        <v>2</v>
      </c>
      <c r="AB17" s="132"/>
      <c r="AC17" s="4">
        <v>0.045</v>
      </c>
      <c r="AD17" s="4">
        <v>0.0011</v>
      </c>
      <c r="AE17" s="4">
        <v>90</v>
      </c>
      <c r="AF17" s="18">
        <v>35000</v>
      </c>
      <c r="AG17" s="18">
        <v>70000</v>
      </c>
      <c r="AH17" s="4">
        <v>4</v>
      </c>
      <c r="AI17" s="18">
        <f t="shared" si="0"/>
        <v>603.448275862069</v>
      </c>
      <c r="AJ17" s="18">
        <v>45000</v>
      </c>
      <c r="AK17" s="108"/>
      <c r="AL17" s="50"/>
      <c r="AM17" s="20"/>
      <c r="AN17" s="20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</row>
    <row r="18" spans="5:75" ht="51">
      <c r="E18" s="65" t="s">
        <v>158</v>
      </c>
      <c r="F18" s="37">
        <f>G17/F17</f>
        <v>0.28364255519023013</v>
      </c>
      <c r="G18" s="10"/>
      <c r="H18" s="66" t="s">
        <v>148</v>
      </c>
      <c r="I18" s="66" t="s">
        <v>149</v>
      </c>
      <c r="J18" s="9" t="s">
        <v>64</v>
      </c>
      <c r="K18" s="67" t="s">
        <v>73</v>
      </c>
      <c r="L18" s="67" t="s">
        <v>72</v>
      </c>
      <c r="M18" s="9" t="s">
        <v>145</v>
      </c>
      <c r="N18" s="66" t="s">
        <v>153</v>
      </c>
      <c r="O18" s="9" t="s">
        <v>65</v>
      </c>
      <c r="P18" s="9" t="s">
        <v>66</v>
      </c>
      <c r="Q18" s="9" t="s">
        <v>68</v>
      </c>
      <c r="R18" s="9"/>
      <c r="S18" s="114" t="s">
        <v>215</v>
      </c>
      <c r="T18" s="9" t="s">
        <v>94</v>
      </c>
      <c r="U18" s="66" t="s">
        <v>162</v>
      </c>
      <c r="V18" s="66" t="s">
        <v>168</v>
      </c>
      <c r="W18" s="66" t="s">
        <v>172</v>
      </c>
      <c r="X18" s="66" t="s">
        <v>149</v>
      </c>
      <c r="Y18" s="49" t="s">
        <v>170</v>
      </c>
      <c r="Z18" s="75"/>
      <c r="AF18" s="1"/>
      <c r="AG18" s="1"/>
      <c r="AK18" s="20"/>
      <c r="AN18" s="109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5:40" ht="12.75">
      <c r="E19" s="65"/>
      <c r="F19" s="10"/>
      <c r="G19" s="10"/>
      <c r="H19" s="90">
        <v>0.05</v>
      </c>
      <c r="I19" s="12">
        <v>0.022</v>
      </c>
      <c r="J19" s="6">
        <v>20</v>
      </c>
      <c r="K19" s="10">
        <v>20</v>
      </c>
      <c r="L19" s="31">
        <f>IF(O19&lt;=P19,O19/N19*308,P19/N19*308)</f>
        <v>17.51713767409159</v>
      </c>
      <c r="M19" s="68">
        <f>IF(J19=0,0,J19/L19)</f>
        <v>1.1417390427649972</v>
      </c>
      <c r="N19" s="38">
        <f>SUM(U19:Y19)</f>
        <v>158245.03132722861</v>
      </c>
      <c r="O19" s="38">
        <f>N19*K19/308</f>
        <v>10275.651384884975</v>
      </c>
      <c r="P19" s="38">
        <f>$G$12*(VLOOKUP($G$11,$AA$20:$AI$28,4,0))+IF(I19&gt;1.8%,$G$14*(VLOOKUP($G$13,$AA$20:$AI$28,4,0)),0)</f>
        <v>9000</v>
      </c>
      <c r="Q19" s="69">
        <f>$F$12*J19/K19*VLOOKUP($F$11,$AA$20:$AD$28,2,0)*O19/P19+$F$14*J19/K19*VLOOKUP($F$13,$AA$20:$AD$28,2,0)*O19/P19</f>
        <v>1148.8178248301401</v>
      </c>
      <c r="R19" s="115">
        <f>IF(O19/P19&gt;1,1,O19/P19)</f>
        <v>1</v>
      </c>
      <c r="S19" s="38">
        <f>IF(COUNTIF($AL$20:$AN$27,R19),VLOOKUP(R19,$AL$20:$AN$27,3,0)*Q19,Q19*R19)</f>
        <v>1148.8178248301401</v>
      </c>
      <c r="T19" s="70">
        <f>S19*$F$7</f>
        <v>1263.6996073131543</v>
      </c>
      <c r="U19" s="38">
        <f>$F$12*((VLOOKUP($F$11,$AA$20:$AI$28,7,0)*VLOOKUP($F$11,$AA$20:$AI$28,5,0)*K19*K19)/(VLOOKUP($F$11,$AA$20:$AI$28,9,0)/VLOOKUP($F$11,$AA$20:$AI$28,8,0))/VLOOKUP($F$11,$AA$20:$AI$28,8,0))+((VLOOKUP($F$9,$AA$11:$AH$17,4,0)*VLOOKUP($F$9,$AA$11:$AH$17,5,0)*K19*K19)/(((VLOOKUP($F$9,$AA$11:$AH$17,7,0)/2000))/((VLOOKUP($F$9,$AA$11:$AH$17,8,0))))/VLOOKUP($F$9,$AA$11:$AH$17,8,0))*$G$17</f>
        <v>507.24443228881773</v>
      </c>
      <c r="V19" s="38">
        <f>$F$12*(1.3+0.29/((VLOOKUP($F$11,$AA$20:$AI$28,9,0))/VLOOKUP($F$11,$AA$20:$AI$28,8,0)))+(1.3+0.29/((VLOOKUP($F$9,$AA$11:$AH$17,7,0))/VLOOKUP($F$9,$AA$11:$AH$17,8,0)))*$G$17</f>
        <v>3145.3968949398295</v>
      </c>
      <c r="W19" s="38">
        <f>$F$12*(VLOOKUP($F$11,$AA$20:$AI$28,6,0)*K19)+(VLOOKUP($F$9,$AA$11:$AH$17,3,0)*K19)*$G$17</f>
        <v>2176.35</v>
      </c>
      <c r="X19" s="38">
        <f>$F$12*(20*I19*(VLOOKUP($F$11,$AA$20:$AI$28,9,0)))+(20*I19*(VLOOKUP($F$9,$AA$10:$AH$17,7,0)/2000))*$G$17</f>
        <v>142754.03999999998</v>
      </c>
      <c r="Y19" s="38">
        <f>0.8*$G$17*H19*100</f>
        <v>9662</v>
      </c>
      <c r="Z19" s="64"/>
      <c r="AA19" s="58" t="s">
        <v>24</v>
      </c>
      <c r="AB19" s="3" t="s">
        <v>22</v>
      </c>
      <c r="AC19" s="3" t="s">
        <v>23</v>
      </c>
      <c r="AD19" s="3" t="s">
        <v>25</v>
      </c>
      <c r="AE19" s="15" t="s">
        <v>26</v>
      </c>
      <c r="AF19" s="3" t="s">
        <v>27</v>
      </c>
      <c r="AG19" s="3" t="s">
        <v>28</v>
      </c>
      <c r="AH19" s="3" t="s">
        <v>3</v>
      </c>
      <c r="AI19" s="3" t="s">
        <v>0</v>
      </c>
      <c r="AJ19" s="3" t="s">
        <v>67</v>
      </c>
      <c r="AL19" s="122" t="s">
        <v>214</v>
      </c>
      <c r="AM19" s="123"/>
      <c r="AN19" s="124"/>
    </row>
    <row r="20" spans="5:40" ht="12.75">
      <c r="E20" s="65"/>
      <c r="F20" s="10"/>
      <c r="G20" s="10"/>
      <c r="H20" s="90">
        <v>0.01</v>
      </c>
      <c r="I20" s="12">
        <v>0.002</v>
      </c>
      <c r="J20" s="6">
        <v>309</v>
      </c>
      <c r="K20" s="10">
        <v>20</v>
      </c>
      <c r="L20" s="32">
        <f>IF(O20&lt;=P20,O20/N20*308,P20/N20*308)</f>
        <v>19.999999999999996</v>
      </c>
      <c r="M20" s="68">
        <f>J20/L20</f>
        <v>15.450000000000003</v>
      </c>
      <c r="N20" s="38">
        <f>SUM(U20:Y20)</f>
        <v>20739.031327228648</v>
      </c>
      <c r="O20" s="38">
        <f>N20*K20/308</f>
        <v>1346.6903459239381</v>
      </c>
      <c r="P20" s="38">
        <f>$G$12*(VLOOKUP($G$11,$AA$20:$AI$28,4,0))+IF(I20&gt;1.8%,$G$14*(VLOOKUP($G$13,$AA$20:$AI$28,4,0)),0)</f>
        <v>9000</v>
      </c>
      <c r="Q20" s="69">
        <f>$F$12*J20/K20*VLOOKUP($F$11,$AA$20:$AD$28,2,0)*O20/P20+$F$14*J20/K20*VLOOKUP($F$13,$AA$20:$AD$28,2,0)*O20/P20</f>
        <v>2326.151701417877</v>
      </c>
      <c r="R20" s="120">
        <f>IF(O20/P20&gt;1,1,O20/P20)</f>
        <v>0.14963226065821536</v>
      </c>
      <c r="S20" s="38">
        <f>IF(COUNTIF($AL$20:$AN$27,R20),VLOOKUP(R20,$AL$20:$AN$27,3,0)*Q20,Q20*R20)</f>
        <v>348.06733771711095</v>
      </c>
      <c r="T20" s="70">
        <f>S20*$F$7</f>
        <v>382.8740714888221</v>
      </c>
      <c r="U20" s="38">
        <f>$F$12*((VLOOKUP($F$11,$AA$20:$AI$28,7,0)*VLOOKUP($F$11,$AA$20:$AI$28,5,0)*K20*K20)/(VLOOKUP($F$11,$AA$20:$AI$28,9,0)/VLOOKUP($F$11,$AA$20:$AI$28,8,0))/VLOOKUP($F$11,$AA$20:$AI$28,8,0))+((VLOOKUP($F$9,$AA$11:$AH$17,4,0)*VLOOKUP($F$9,$AA$11:$AH$17,5,0)*K20*K20)/(((VLOOKUP($F$9,$AA$11:$AH$17,7,0)/2000))/((VLOOKUP($F$9,$AA$11:$AH$17,8,0))))/VLOOKUP($F$9,$AA$11:$AH$17,8,0))*$G$17</f>
        <v>507.24443228881773</v>
      </c>
      <c r="V20" s="38">
        <f>$F$12*(1.3+0.29/((VLOOKUP($F$11,$AA$20:$AI$28,9,0))/VLOOKUP($F$11,$AA$20:$AI$28,8,0)))+(1.3+0.29/((VLOOKUP($F$9,$AA$11:$AH$17,7,0))/VLOOKUP($F$9,$AA$11:$AH$17,8,0)))*$G$17</f>
        <v>3145.3968949398295</v>
      </c>
      <c r="W20" s="38">
        <f>$F$12*(VLOOKUP($F$11,$AA$20:$AI$28,6,0)*K20)+(VLOOKUP($F$9,$AA$11:$AH$17,3,0)*K20)*$G$17</f>
        <v>2176.35</v>
      </c>
      <c r="X20" s="38">
        <f>$F$12*(20*I20*(VLOOKUP($F$11,$AA$20:$AI$28,9,0)))+(20*I20*(VLOOKUP($F$9,$AA$10:$AH$17,7,0)/2000))*$G$17</f>
        <v>12977.64</v>
      </c>
      <c r="Y20" s="38">
        <f>0.8*$G$17*H20*100</f>
        <v>1932.4</v>
      </c>
      <c r="Z20" s="64"/>
      <c r="AA20" s="58" t="s">
        <v>13</v>
      </c>
      <c r="AB20" s="4">
        <v>115</v>
      </c>
      <c r="AC20" s="4">
        <v>3.5</v>
      </c>
      <c r="AD20" s="4">
        <v>1750</v>
      </c>
      <c r="AE20" s="4">
        <v>120</v>
      </c>
      <c r="AF20" s="4">
        <v>0.03</v>
      </c>
      <c r="AG20" s="4">
        <v>0.0025</v>
      </c>
      <c r="AH20" s="4">
        <v>4</v>
      </c>
      <c r="AI20" s="4">
        <v>140</v>
      </c>
      <c r="AJ20" s="40">
        <v>250000</v>
      </c>
      <c r="AL20" s="117">
        <v>0.1</v>
      </c>
      <c r="AM20" s="116">
        <v>1</v>
      </c>
      <c r="AN20" s="118">
        <v>0.05</v>
      </c>
    </row>
    <row r="21" spans="5:40" ht="12.75">
      <c r="E21" s="65"/>
      <c r="F21" s="10"/>
      <c r="G21" s="10"/>
      <c r="H21" s="90"/>
      <c r="I21" s="12">
        <v>0</v>
      </c>
      <c r="J21" s="6">
        <v>0</v>
      </c>
      <c r="K21" s="10">
        <f>$H$9</f>
        <v>20</v>
      </c>
      <c r="L21" s="32">
        <f>IF(O21&lt;=P21,O21/N21*308,P21/N21*308)</f>
        <v>20.000000000000004</v>
      </c>
      <c r="M21" s="68">
        <f>J21/L21</f>
        <v>0</v>
      </c>
      <c r="N21" s="38">
        <f>SUM(U21:Y21)</f>
        <v>5828.991327228647</v>
      </c>
      <c r="O21" s="38">
        <f>N21*K21/308</f>
        <v>378.50593033952254</v>
      </c>
      <c r="P21" s="38">
        <f>$G$12*(VLOOKUP($G$11,$AA$20:$AI$28,4,0))+IF(I21&gt;1.8%,$G$14*(VLOOKUP($G$13,$AA$20:$AI$28,4,0)),0)</f>
        <v>9000</v>
      </c>
      <c r="Q21" s="69">
        <f>$F$12*J21/K21*VLOOKUP($F$11,$AA$20:$AD$28,2,0)*O21/P21+$F$14*J21/K21*VLOOKUP($F$13,$AA$20:$AD$28,2,0)*O21/P21</f>
        <v>0</v>
      </c>
      <c r="R21" s="120">
        <f>IF(O21/P21&gt;1,1,O21/P21)</f>
        <v>0.04205621448216917</v>
      </c>
      <c r="S21" s="38">
        <f>IF(COUNTIF($AL$20:$AN$27,R21),VLOOKUP(R21,$AL$20:$AN$27,3,0)*Q21,Q21*R21)</f>
        <v>0</v>
      </c>
      <c r="T21" s="70">
        <f>S21*$F$7</f>
        <v>0</v>
      </c>
      <c r="U21" s="38">
        <f>$F$12*((VLOOKUP($F$11,$AA$20:$AI$28,7,0)*VLOOKUP($F$11,$AA$20:$AI$28,5,0)*K21*K21)/(VLOOKUP($F$11,$AA$20:$AI$28,9,0)/VLOOKUP($F$11,$AA$20:$AI$28,8,0))/VLOOKUP($F$11,$AA$20:$AI$28,8,0))+((VLOOKUP($F$9,$AA$11:$AH$17,4,0)*VLOOKUP($F$9,$AA$11:$AH$17,5,0)*K21*K21)/(((VLOOKUP($F$9,$AA$11:$AH$17,7,0)/2000))/((VLOOKUP($F$9,$AA$11:$AH$17,8,0))))/VLOOKUP($F$9,$AA$11:$AH$17,8,0))*$G$17</f>
        <v>507.24443228881773</v>
      </c>
      <c r="V21" s="38">
        <f>$F$12*(1.3+0.29/((VLOOKUP($F$11,$AA$20:$AI$28,9,0))/VLOOKUP($F$11,$AA$20:$AI$28,8,0)))+(1.3+0.29/((VLOOKUP($F$9,$AA$11:$AH$17,7,0))/VLOOKUP($F$9,$AA$11:$AH$17,8,0)))*$G$17</f>
        <v>3145.3968949398295</v>
      </c>
      <c r="W21" s="38">
        <f>$F$12*(VLOOKUP($F$11,$AA$20:$AI$28,6,0)*K21)+(VLOOKUP($F$9,$AA$11:$AH$17,3,0)*K21)*$G$17</f>
        <v>2176.35</v>
      </c>
      <c r="X21" s="38">
        <f>$F$12*(20*I21*(VLOOKUP($F$11,$AA$20:$AI$28,9,0)))+(20*I21*(VLOOKUP($F$9,$AA$10:$AH$17,7,0)/2000))*$G$17</f>
        <v>0</v>
      </c>
      <c r="Y21" s="38">
        <f>0.8*$G$17*H21*100</f>
        <v>0</v>
      </c>
      <c r="Z21" s="64"/>
      <c r="AA21" s="58" t="s">
        <v>14</v>
      </c>
      <c r="AB21" s="4">
        <v>135</v>
      </c>
      <c r="AC21" s="4">
        <v>4.2</v>
      </c>
      <c r="AD21" s="4">
        <v>2300</v>
      </c>
      <c r="AE21" s="4">
        <v>120</v>
      </c>
      <c r="AF21" s="4">
        <v>0.03</v>
      </c>
      <c r="AG21" s="4">
        <v>0.0025</v>
      </c>
      <c r="AH21" s="4">
        <v>4</v>
      </c>
      <c r="AI21" s="4">
        <v>160</v>
      </c>
      <c r="AJ21" s="40">
        <v>350000</v>
      </c>
      <c r="AL21" s="117">
        <v>0.2</v>
      </c>
      <c r="AM21" s="111">
        <v>2</v>
      </c>
      <c r="AN21" s="119">
        <v>0.2</v>
      </c>
    </row>
    <row r="22" spans="5:40" ht="12.75">
      <c r="E22" s="65"/>
      <c r="F22" s="10"/>
      <c r="G22" s="10"/>
      <c r="H22" s="90"/>
      <c r="I22" s="12"/>
      <c r="J22" s="6">
        <v>0</v>
      </c>
      <c r="K22" s="10">
        <f>$H$9</f>
        <v>20</v>
      </c>
      <c r="L22" s="32">
        <f>IF(O22&lt;=P22,O22/N22*308,P22/N22*308)</f>
        <v>20.000000000000004</v>
      </c>
      <c r="M22" s="68">
        <f>J22/L22</f>
        <v>0</v>
      </c>
      <c r="N22" s="38">
        <f>SUM(U22:Y22)</f>
        <v>5828.991327228647</v>
      </c>
      <c r="O22" s="38">
        <f>N22*K22/308</f>
        <v>378.50593033952254</v>
      </c>
      <c r="P22" s="38">
        <f>$G$12*(VLOOKUP($G$11,$AA$20:$AI$28,4,0))+IF(I22&gt;1.8%,$G$14*(VLOOKUP($G$13,$AA$20:$AI$28,4,0)),0)</f>
        <v>9000</v>
      </c>
      <c r="Q22" s="69">
        <f>$F$12*J22/K22*VLOOKUP($F$11,$AA$20:$AD$28,2,0)*O22/P22+$F$14*J22/K22*VLOOKUP($F$13,$AA$20:$AD$28,2,0)*O22/P22</f>
        <v>0</v>
      </c>
      <c r="R22" s="120">
        <f>IF(O22/P22&gt;1,1,O22/P22)</f>
        <v>0.04205621448216917</v>
      </c>
      <c r="S22" s="38">
        <f>IF(COUNTIF($AL$20:$AN$27,R22),VLOOKUP(R22,$AL$20:$AN$27,3,0)*Q22,Q22*R22)</f>
        <v>0</v>
      </c>
      <c r="T22" s="70">
        <f>S22*$F$7</f>
        <v>0</v>
      </c>
      <c r="U22" s="38">
        <f>$F$12*((VLOOKUP($F$11,$AA$20:$AI$28,7,0)*VLOOKUP($F$11,$AA$20:$AI$28,5,0)*K22*K22)/(VLOOKUP($F$11,$AA$20:$AI$28,9,0)/VLOOKUP($F$11,$AA$20:$AI$28,8,0))/VLOOKUP($F$11,$AA$20:$AI$28,8,0))+((VLOOKUP($F$9,$AA$11:$AH$17,4,0)*VLOOKUP($F$9,$AA$11:$AH$17,5,0)*K22*K22)/(((VLOOKUP($F$9,$AA$11:$AH$17,7,0)/2000))/((VLOOKUP($F$9,$AA$11:$AH$17,8,0))))/VLOOKUP($F$9,$AA$11:$AH$17,8,0))*$G$17</f>
        <v>507.24443228881773</v>
      </c>
      <c r="V22" s="38">
        <f>$F$12*(1.3+0.29/((VLOOKUP($F$11,$AA$20:$AI$28,9,0))/VLOOKUP($F$11,$AA$20:$AI$28,8,0)))+(1.3+0.29/((VLOOKUP($F$9,$AA$11:$AH$17,7,0))/VLOOKUP($F$9,$AA$11:$AH$17,8,0)))*$G$17</f>
        <v>3145.3968949398295</v>
      </c>
      <c r="W22" s="38">
        <f>$F$12*(VLOOKUP($F$11,$AA$20:$AI$28,6,0)*K22)+(VLOOKUP($F$9,$AA$11:$AH$17,3,0)*K22)*$G$17</f>
        <v>2176.35</v>
      </c>
      <c r="X22" s="38">
        <f>$F$12*(20*I22*(VLOOKUP($F$11,$AA$20:$AI$28,9,0)))+(20*I22*(VLOOKUP($F$9,$AA$10:$AH$17,7,0)/2000))*$G$17</f>
        <v>0</v>
      </c>
      <c r="Y22" s="38">
        <f>0.8*$G$17*H22*100</f>
        <v>0</v>
      </c>
      <c r="Z22" s="64"/>
      <c r="AA22" s="58" t="s">
        <v>15</v>
      </c>
      <c r="AB22" s="4">
        <v>167.7</v>
      </c>
      <c r="AC22" s="4">
        <v>5.5</v>
      </c>
      <c r="AD22" s="4">
        <v>3000</v>
      </c>
      <c r="AE22" s="4">
        <v>120</v>
      </c>
      <c r="AF22" s="4">
        <v>0.03</v>
      </c>
      <c r="AG22" s="4">
        <v>0.0025</v>
      </c>
      <c r="AH22" s="4">
        <v>4</v>
      </c>
      <c r="AI22" s="4">
        <v>180</v>
      </c>
      <c r="AJ22" s="40">
        <v>900000</v>
      </c>
      <c r="AL22" s="117">
        <v>0.3</v>
      </c>
      <c r="AM22" s="111">
        <v>3</v>
      </c>
      <c r="AN22" s="119">
        <v>0.35</v>
      </c>
    </row>
    <row r="23" spans="5:40" ht="12.75">
      <c r="E23" s="65"/>
      <c r="F23" s="10"/>
      <c r="G23" s="10"/>
      <c r="H23" s="90"/>
      <c r="I23" s="12"/>
      <c r="J23" s="6">
        <v>0</v>
      </c>
      <c r="K23" s="10">
        <f>$H$9</f>
        <v>20</v>
      </c>
      <c r="L23" s="52">
        <f>IF(O23&lt;=P23,O23/N23*308,P23/N23*308)</f>
        <v>20.000000000000004</v>
      </c>
      <c r="M23" s="68">
        <f>J23/L23</f>
        <v>0</v>
      </c>
      <c r="N23" s="38">
        <f>SUM(U23:Y23)</f>
        <v>5828.991327228647</v>
      </c>
      <c r="O23" s="38">
        <f>N23*K23/308</f>
        <v>378.50593033952254</v>
      </c>
      <c r="P23" s="38">
        <f>$G$12*(VLOOKUP($G$11,$AA$20:$AI$28,4,0))+IF(I23&gt;1.8%,$G$14*(VLOOKUP($G$13,$AA$20:$AI$28,4,0)),0)</f>
        <v>9000</v>
      </c>
      <c r="Q23" s="69">
        <f>$F$12*J23/K23*VLOOKUP($F$11,$AA$20:$AD$28,2,0)*O23/P23+$F$14*J23/K23*VLOOKUP($F$13,$AA$20:$AD$28,2,0)*O23/P23</f>
        <v>0</v>
      </c>
      <c r="R23" s="120">
        <f>IF(O23/P23&gt;1,1,O23/P23)</f>
        <v>0.04205621448216917</v>
      </c>
      <c r="S23" s="38">
        <f>IF(COUNTIF($AL$20:$AN$27,R23),VLOOKUP(R23,$AL$20:$AN$27,3,0)*Q23,Q23*R23)</f>
        <v>0</v>
      </c>
      <c r="T23" s="70">
        <f>S23*$F$7</f>
        <v>0</v>
      </c>
      <c r="U23" s="38">
        <f>$F$12*((VLOOKUP($F$11,$AA$20:$AI$28,7,0)*VLOOKUP($F$11,$AA$20:$AI$28,5,0)*K23*K23)/(VLOOKUP($F$11,$AA$20:$AI$28,9,0)/VLOOKUP($F$11,$AA$20:$AI$28,8,0))/VLOOKUP($F$11,$AA$20:$AI$28,8,0))+((VLOOKUP($F$9,$AA$11:$AH$17,4,0)*VLOOKUP($F$9,$AA$11:$AH$17,5,0)*K23*K23)/(((VLOOKUP($F$9,$AA$11:$AH$17,7,0)/2000))/((VLOOKUP($F$9,$AA$11:$AH$17,8,0))))/VLOOKUP($F$9,$AA$11:$AH$17,8,0))*$G$17</f>
        <v>507.24443228881773</v>
      </c>
      <c r="V23" s="38">
        <f>$F$12*(1.3+0.29/((VLOOKUP($F$11,$AA$20:$AI$28,9,0))/VLOOKUP($F$11,$AA$20:$AI$28,8,0)))+(1.3+0.29/((VLOOKUP($F$9,$AA$11:$AH$17,7,0))/VLOOKUP($F$9,$AA$11:$AH$17,8,0)))*$G$17</f>
        <v>3145.3968949398295</v>
      </c>
      <c r="W23" s="38">
        <f>$F$12*(VLOOKUP($F$11,$AA$20:$AI$28,6,0)*K23)+(VLOOKUP($F$9,$AA$11:$AH$17,3,0)*K23)*$G$17</f>
        <v>2176.35</v>
      </c>
      <c r="X23" s="38">
        <f>$F$12*(20*I23*(VLOOKUP($F$11,$AA$20:$AI$28,9,0)))+(20*I23*(VLOOKUP($F$9,$AA$10:$AH$17,7,0)/2000))*$G$17</f>
        <v>0</v>
      </c>
      <c r="Y23" s="38">
        <f>0.8*$G$17*H23*100</f>
        <v>0</v>
      </c>
      <c r="Z23" s="64"/>
      <c r="AA23" s="58" t="s">
        <v>16</v>
      </c>
      <c r="AB23" s="4">
        <v>167.7</v>
      </c>
      <c r="AC23" s="4">
        <v>5.5</v>
      </c>
      <c r="AD23" s="4">
        <v>3000</v>
      </c>
      <c r="AE23" s="4">
        <v>120</v>
      </c>
      <c r="AF23" s="4">
        <v>0.03</v>
      </c>
      <c r="AG23" s="4">
        <v>0.0025</v>
      </c>
      <c r="AH23" s="4">
        <v>6</v>
      </c>
      <c r="AI23" s="4">
        <v>191</v>
      </c>
      <c r="AJ23" s="40">
        <v>900000</v>
      </c>
      <c r="AL23" s="117">
        <f>4000/10000</f>
        <v>0.4</v>
      </c>
      <c r="AM23" s="111">
        <v>4</v>
      </c>
      <c r="AN23" s="119">
        <v>0.4</v>
      </c>
    </row>
    <row r="24" spans="5:40" ht="12.75">
      <c r="E24" s="6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64"/>
      <c r="AA24" s="58" t="s">
        <v>17</v>
      </c>
      <c r="AB24" s="4">
        <v>194</v>
      </c>
      <c r="AC24" s="4">
        <v>6</v>
      </c>
      <c r="AD24" s="4">
        <v>3600</v>
      </c>
      <c r="AE24" s="4">
        <v>120</v>
      </c>
      <c r="AF24" s="4">
        <v>0.03</v>
      </c>
      <c r="AG24" s="4">
        <v>0.0025</v>
      </c>
      <c r="AH24" s="4">
        <v>6</v>
      </c>
      <c r="AI24" s="4">
        <v>200</v>
      </c>
      <c r="AJ24" s="40">
        <v>1250000</v>
      </c>
      <c r="AL24" s="117">
        <v>0.5</v>
      </c>
      <c r="AM24" s="111">
        <v>5</v>
      </c>
      <c r="AN24" s="119">
        <v>0.55</v>
      </c>
    </row>
    <row r="25" spans="5:40" ht="13.5" thickBot="1">
      <c r="E25" s="65"/>
      <c r="F25" s="10"/>
      <c r="G25" s="10"/>
      <c r="H25" s="10"/>
      <c r="I25" s="10"/>
      <c r="J25" s="71">
        <f>SUM(J19:J23)</f>
        <v>329</v>
      </c>
      <c r="K25" s="71"/>
      <c r="L25" s="71"/>
      <c r="M25" s="72">
        <f>SUM(M19:M23)</f>
        <v>16.591739042765</v>
      </c>
      <c r="N25" s="71"/>
      <c r="O25" s="71"/>
      <c r="P25" s="71"/>
      <c r="Q25" s="73">
        <f>SUM(Q19:Q23)</f>
        <v>3474.9695262480172</v>
      </c>
      <c r="R25" s="73"/>
      <c r="S25" s="73"/>
      <c r="T25" s="74">
        <f>SUM(T19:T23)</f>
        <v>1646.5736788019763</v>
      </c>
      <c r="U25" s="10"/>
      <c r="V25" s="10"/>
      <c r="W25" s="10"/>
      <c r="X25" s="10"/>
      <c r="Y25" s="10"/>
      <c r="Z25" s="64"/>
      <c r="AA25" s="58" t="s">
        <v>18</v>
      </c>
      <c r="AB25" s="4">
        <v>194</v>
      </c>
      <c r="AC25" s="4">
        <v>6</v>
      </c>
      <c r="AD25" s="4">
        <v>3600</v>
      </c>
      <c r="AE25" s="4">
        <v>120</v>
      </c>
      <c r="AF25" s="4">
        <v>0.03</v>
      </c>
      <c r="AG25" s="4">
        <v>0.0025</v>
      </c>
      <c r="AH25" s="4">
        <v>6</v>
      </c>
      <c r="AI25" s="4">
        <v>200</v>
      </c>
      <c r="AJ25" s="40">
        <v>1250000</v>
      </c>
      <c r="AL25" s="117">
        <v>0.7</v>
      </c>
      <c r="AM25" s="111">
        <v>6</v>
      </c>
      <c r="AN25" s="119">
        <v>0.7</v>
      </c>
    </row>
    <row r="26" spans="5:40" ht="14.25" thickBot="1" thickTop="1">
      <c r="E26" s="65"/>
      <c r="F26" s="10"/>
      <c r="G26" s="10"/>
      <c r="H26" s="10"/>
      <c r="I26" s="71" t="s">
        <v>159</v>
      </c>
      <c r="J26" s="71"/>
      <c r="K26" s="10"/>
      <c r="L26" s="10"/>
      <c r="M26" s="81">
        <f>M17+M25</f>
        <v>34.0512208936873</v>
      </c>
      <c r="N26" s="68"/>
      <c r="O26" s="68"/>
      <c r="P26" s="68"/>
      <c r="Q26" s="68">
        <f>Q17+Q25</f>
        <v>9717.811630935685</v>
      </c>
      <c r="R26" s="68"/>
      <c r="S26" s="68"/>
      <c r="T26" s="89">
        <f>T17+T25</f>
        <v>5131.346155442945</v>
      </c>
      <c r="U26" s="10"/>
      <c r="V26" s="10"/>
      <c r="W26" s="10"/>
      <c r="X26" s="38">
        <f>$F$12*(VLOOKUP($F$11,$AA$20:$AI$28,6,0)*L26)+(VLOOKUP($F$9,$AA$11:$AH$17,3,0)*L26)*$G$17</f>
        <v>0</v>
      </c>
      <c r="Y26" s="10"/>
      <c r="Z26" s="64"/>
      <c r="AA26" s="58" t="s">
        <v>19</v>
      </c>
      <c r="AB26" s="4">
        <v>193.8</v>
      </c>
      <c r="AC26" s="4">
        <v>6.3</v>
      </c>
      <c r="AD26" s="4">
        <v>3800</v>
      </c>
      <c r="AE26" s="4">
        <v>120</v>
      </c>
      <c r="AF26" s="4">
        <v>0.03</v>
      </c>
      <c r="AG26" s="4">
        <v>0.0025</v>
      </c>
      <c r="AH26" s="4">
        <v>6</v>
      </c>
      <c r="AI26" s="4">
        <v>220</v>
      </c>
      <c r="AJ26" s="40">
        <v>1400000</v>
      </c>
      <c r="AL26" s="117">
        <v>0.8</v>
      </c>
      <c r="AM26" s="111">
        <v>7</v>
      </c>
      <c r="AN26" s="119">
        <v>0.85</v>
      </c>
    </row>
    <row r="27" spans="5:40" ht="13.5" thickTop="1">
      <c r="E27" s="6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64"/>
      <c r="AA27" s="58" t="s">
        <v>20</v>
      </c>
      <c r="AB27" s="4">
        <v>204</v>
      </c>
      <c r="AC27" s="4">
        <v>6.5</v>
      </c>
      <c r="AD27" s="4">
        <v>4000</v>
      </c>
      <c r="AE27" s="4">
        <v>120</v>
      </c>
      <c r="AF27" s="4">
        <v>0.03</v>
      </c>
      <c r="AG27" s="4">
        <v>0.0025</v>
      </c>
      <c r="AH27" s="4">
        <v>6</v>
      </c>
      <c r="AI27" s="4">
        <v>230</v>
      </c>
      <c r="AJ27" s="40">
        <v>1500000</v>
      </c>
      <c r="AL27" s="117">
        <v>1</v>
      </c>
      <c r="AM27" s="111">
        <v>8</v>
      </c>
      <c r="AN27" s="119">
        <v>1</v>
      </c>
    </row>
    <row r="28" spans="5:36" ht="12.75">
      <c r="E28" s="6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64"/>
      <c r="AA28" s="58" t="s">
        <v>21</v>
      </c>
      <c r="AB28" s="4">
        <v>275</v>
      </c>
      <c r="AC28" s="4">
        <v>10</v>
      </c>
      <c r="AD28" s="4">
        <v>6000</v>
      </c>
      <c r="AE28" s="4">
        <v>120</v>
      </c>
      <c r="AF28" s="4">
        <v>0.03</v>
      </c>
      <c r="AG28" s="4">
        <v>0.0025</v>
      </c>
      <c r="AH28" s="4">
        <v>6</v>
      </c>
      <c r="AI28" s="4">
        <v>240</v>
      </c>
      <c r="AJ28" s="40">
        <v>1900000</v>
      </c>
    </row>
    <row r="29" spans="5:26" ht="15.75">
      <c r="E29" s="63" t="s">
        <v>83</v>
      </c>
      <c r="F29" s="10" t="s">
        <v>150</v>
      </c>
      <c r="G29" s="10" t="s">
        <v>151</v>
      </c>
      <c r="H29" s="10" t="s">
        <v>143</v>
      </c>
      <c r="I29" s="10"/>
      <c r="J29" s="10"/>
      <c r="K29" s="10"/>
      <c r="L29" s="10"/>
      <c r="M29" s="133" t="s">
        <v>160</v>
      </c>
      <c r="N29" s="134"/>
      <c r="O29" s="134"/>
      <c r="P29" s="134"/>
      <c r="Q29" s="135"/>
      <c r="R29" s="112"/>
      <c r="S29" s="112"/>
      <c r="T29" s="10"/>
      <c r="U29" s="10"/>
      <c r="V29" s="10"/>
      <c r="W29" s="10"/>
      <c r="X29" s="10"/>
      <c r="Y29" s="10"/>
      <c r="Z29" s="64"/>
    </row>
    <row r="30" spans="5:26" ht="13.5" customHeight="1">
      <c r="E30" s="65" t="s">
        <v>30</v>
      </c>
      <c r="F30" s="51" t="str">
        <f>F9</f>
        <v>C. Hopper Car</v>
      </c>
      <c r="G30" s="51" t="str">
        <f>F30</f>
        <v>C. Hopper Car</v>
      </c>
      <c r="H30" s="6">
        <v>20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64"/>
    </row>
    <row r="31" spans="5:39" ht="34.5" customHeight="1">
      <c r="E31" s="65" t="s">
        <v>138</v>
      </c>
      <c r="F31" s="6">
        <v>55</v>
      </c>
      <c r="G31" s="6">
        <f>F31</f>
        <v>55</v>
      </c>
      <c r="H31" s="66" t="s">
        <v>146</v>
      </c>
      <c r="I31" s="66" t="s">
        <v>147</v>
      </c>
      <c r="J31" s="9" t="s">
        <v>64</v>
      </c>
      <c r="K31" s="67" t="s">
        <v>73</v>
      </c>
      <c r="L31" s="67" t="s">
        <v>72</v>
      </c>
      <c r="M31" s="9" t="s">
        <v>145</v>
      </c>
      <c r="N31" s="66" t="s">
        <v>152</v>
      </c>
      <c r="O31" s="9" t="s">
        <v>65</v>
      </c>
      <c r="P31" s="9" t="s">
        <v>66</v>
      </c>
      <c r="Q31" s="9" t="s">
        <v>68</v>
      </c>
      <c r="R31" s="113" t="s">
        <v>216</v>
      </c>
      <c r="S31" s="114" t="s">
        <v>215</v>
      </c>
      <c r="T31" s="9" t="s">
        <v>94</v>
      </c>
      <c r="U31" s="66" t="s">
        <v>154</v>
      </c>
      <c r="V31" s="66" t="s">
        <v>155</v>
      </c>
      <c r="W31" s="66" t="s">
        <v>156</v>
      </c>
      <c r="X31" s="66" t="s">
        <v>147</v>
      </c>
      <c r="Y31" s="66" t="s">
        <v>171</v>
      </c>
      <c r="Z31" s="64"/>
      <c r="AB31" t="s">
        <v>48</v>
      </c>
      <c r="AH31" t="s">
        <v>52</v>
      </c>
      <c r="AL31" t="s">
        <v>29</v>
      </c>
      <c r="AM31" s="11" t="s">
        <v>4</v>
      </c>
    </row>
    <row r="32" spans="5:40" ht="12.75">
      <c r="E32" s="65" t="s">
        <v>39</v>
      </c>
      <c r="F32" s="51" t="s">
        <v>16</v>
      </c>
      <c r="G32" s="51" t="s">
        <v>16</v>
      </c>
      <c r="H32" s="90">
        <v>0.05</v>
      </c>
      <c r="I32" s="12">
        <v>0.022</v>
      </c>
      <c r="J32" s="6">
        <v>17</v>
      </c>
      <c r="K32" s="10">
        <v>20</v>
      </c>
      <c r="L32" s="31">
        <f>IF(O32&lt;=P32,O32/N32*308,P32/N32*308)</f>
        <v>9.952814448570672</v>
      </c>
      <c r="M32" s="68">
        <f>IF(J32=0,0,J32/L32)</f>
        <v>1.7080595732839545</v>
      </c>
      <c r="N32" s="38">
        <f>SUM(U32:Y32)</f>
        <v>557028.3690756614</v>
      </c>
      <c r="O32" s="38">
        <f>N32*K32/308</f>
        <v>36170.673316601395</v>
      </c>
      <c r="P32" s="38">
        <f>$F$33*(VLOOKUP($F$32,$AA$20:$AI$28,4,0))+IF(I32&gt;1.8%,$F$35*(VLOOKUP($F$34,$AA$20:$AI$28,4,0)),0)</f>
        <v>18000</v>
      </c>
      <c r="Q32" s="69">
        <f>$F$12*J32/K32*VLOOKUP($F$11,$AA$20:$AD$28,2,0)*O32/P32+$F$14*J32/K32*VLOOKUP($F$13,$AA$20:$AD$28,2,0)*O32/P32</f>
        <v>1718.6495426383153</v>
      </c>
      <c r="R32" s="115">
        <f>IF(O32/P32&gt;1,1,O32/P32)</f>
        <v>1</v>
      </c>
      <c r="S32" s="38">
        <f>IF(COUNTIF($AL$20:$AN$27,R32),VLOOKUP(R32,$AL$20:$AN$27,3,0)*Q32,Q32*R32)</f>
        <v>1718.6495426383153</v>
      </c>
      <c r="T32" s="70">
        <f>S32*$F$7</f>
        <v>1890.514496902147</v>
      </c>
      <c r="U32" s="38">
        <f>$F$33*((VLOOKUP($F$32,$AA$20:$AI$28,7,0)*VLOOKUP($F$32,$AA$20:$AI$28,5,0)*K32*K32)/(VLOOKUP($F$32,$AA$20:$AI$28,9,0)/VLOOKUP($F$32,$AA$20:$AI$28,8,0))/VLOOKUP($F$32,$AA$20:$AI$28,8,0))+((VLOOKUP($F$30,$AA$11:$AH$17,4,0)*VLOOKUP($F$30,$AA$11:$AH$17,5,0)*K32*K32)/(((VLOOKUP($F$30,$AA$11:$AH$17,7,0)/2000))/((VLOOKUP($F$30,$AA$11:$AH$17,8,0))))/VLOOKUP($F$30,$AA$11:$AH$17,8,0))*$F$38</f>
        <v>1781.9757755724</v>
      </c>
      <c r="V32" s="38">
        <f>$F$33*(1.3+0.29/((VLOOKUP($F$32,$AA$20:$AI$28,9,0))/VLOOKUP($F$32,$AA$20:$AI$28,8,0)))+(1.3+0.29/((VLOOKUP($F$30,$AA$11:$AH$17,7,0))/VLOOKUP($F$30,$AA$11:$AH$17,8,0)))*$F$38</f>
        <v>11076.073300089085</v>
      </c>
      <c r="W32" s="38">
        <f>$F$33*(VLOOKUP($F$11,$AA$20:$AI$28,6,0)*K32)+(VLOOKUP($F$30,$AA$11:$AH$17,3,0)*K32)*$F$38</f>
        <v>7666.799999999999</v>
      </c>
      <c r="X32" s="38">
        <f>$F$33*(20*I32*(VLOOKUP($F$32,$AA$20:$AI$28,9,0)))+(20*I32*(VLOOKUP($F$30,$AA$10:$AH$17,7,0)/2000))*$F$38</f>
        <v>502439.5199999999</v>
      </c>
      <c r="Y32" s="38">
        <f>0.8*$F$38*H32*100</f>
        <v>34064.00000000001</v>
      </c>
      <c r="Z32" s="64"/>
      <c r="AA32" s="57" t="s">
        <v>9</v>
      </c>
      <c r="AB32" t="s">
        <v>49</v>
      </c>
      <c r="AC32" t="s">
        <v>50</v>
      </c>
      <c r="AD32" t="s">
        <v>51</v>
      </c>
      <c r="AE32" t="s">
        <v>8</v>
      </c>
      <c r="AF32" t="s">
        <v>29</v>
      </c>
      <c r="AG32" t="s">
        <v>61</v>
      </c>
      <c r="AH32" t="s">
        <v>53</v>
      </c>
      <c r="AI32" t="s">
        <v>50</v>
      </c>
      <c r="AJ32" t="s">
        <v>51</v>
      </c>
      <c r="AK32" t="s">
        <v>8</v>
      </c>
      <c r="AL32" s="23">
        <f>AF33/AG33</f>
        <v>0</v>
      </c>
      <c r="AM32" s="1">
        <f>(375*(VLOOKUP($AC$61,$AA$20:$AJ$28,4,0))*0.83)/AA33</f>
        <v>233437.5</v>
      </c>
      <c r="AN32" t="s">
        <v>25</v>
      </c>
    </row>
    <row r="33" spans="5:40" ht="12.75">
      <c r="E33" s="65" t="s">
        <v>41</v>
      </c>
      <c r="F33" s="6">
        <v>4</v>
      </c>
      <c r="G33" s="6">
        <v>3</v>
      </c>
      <c r="H33" s="90">
        <v>0.01</v>
      </c>
      <c r="I33" s="12">
        <v>0.002</v>
      </c>
      <c r="J33" s="6">
        <v>193</v>
      </c>
      <c r="K33" s="10">
        <v>20</v>
      </c>
      <c r="L33" s="32">
        <f>IF(O33&lt;=P33,O33/N33*308,P33/N33*308)</f>
        <v>19.999999999999996</v>
      </c>
      <c r="M33" s="68">
        <f>J33/L33</f>
        <v>9.650000000000002</v>
      </c>
      <c r="N33" s="38">
        <f>SUM(U33:Y33)</f>
        <v>73013.96907566149</v>
      </c>
      <c r="O33" s="38">
        <f>N33*K33/308</f>
        <v>4741.166823094902</v>
      </c>
      <c r="P33" s="38">
        <f>$F$33*(VLOOKUP($F$32,$AA$20:$AI$28,4,0))+IF(I33&gt;1.8%,$F$35*(VLOOKUP($F$34,$AA$20:$AI$28,4,0)),0)</f>
        <v>12000</v>
      </c>
      <c r="Q33" s="69">
        <f>$F$12*J33/K33*VLOOKUP($F$11,$AA$20:$AD$28,2,0)*O33/P33+$F$14*J33/K33*VLOOKUP($F$13,$AA$20:$AD$28,2,0)*O33/P33</f>
        <v>3836.3269878242972</v>
      </c>
      <c r="R33" s="115">
        <f>IF(O33/P33&gt;1,1,O33/P33)</f>
        <v>0.39509723525790846</v>
      </c>
      <c r="S33" s="38">
        <f>IF(COUNTIF($AL$20:$AN$27,R33),VLOOKUP(R33,$AL$20:$AN$27,3,0)*Q33,Q33*R33)</f>
        <v>1515.7221864346798</v>
      </c>
      <c r="T33" s="70">
        <f>S33*$F$7</f>
        <v>1667.294405078148</v>
      </c>
      <c r="U33" s="38">
        <f>$F$33*((VLOOKUP($F$32,$AA$20:$AI$28,7,0)*VLOOKUP($F$32,$AA$20:$AI$28,5,0)*K33*K33)/(VLOOKUP($F$32,$AA$20:$AI$28,9,0)/VLOOKUP($F$32,$AA$20:$AI$28,8,0))/VLOOKUP($F$32,$AA$20:$AI$28,8,0))+((VLOOKUP($F$30,$AA$11:$AH$17,4,0)*VLOOKUP($F$30,$AA$11:$AH$17,5,0)*K33*K33)/(((VLOOKUP($F$30,$AA$11:$AH$17,7,0)/2000))/((VLOOKUP($F$30,$AA$11:$AH$17,8,0))))/VLOOKUP($F$30,$AA$11:$AH$17,8,0))*$F$38</f>
        <v>1781.9757755724</v>
      </c>
      <c r="V33" s="38">
        <f>$F$33*(1.3+0.29/((VLOOKUP($F$32,$AA$20:$AI$28,9,0))/VLOOKUP($F$32,$AA$20:$AI$28,8,0)))+(1.3+0.29/((VLOOKUP($F$30,$AA$11:$AH$17,7,0))/VLOOKUP($F$30,$AA$11:$AH$17,8,0)))*$F$38</f>
        <v>11076.073300089085</v>
      </c>
      <c r="W33" s="38">
        <f>$F$33*(VLOOKUP($F$11,$AA$20:$AI$28,6,0)*K33)+(VLOOKUP($F$30,$AA$11:$AH$17,3,0)*K33)*$F$38</f>
        <v>7666.799999999999</v>
      </c>
      <c r="X33" s="38">
        <f>$F$33*(20*I33*(VLOOKUP($F$32,$AA$20:$AI$28,9,0)))+(20*I33*(VLOOKUP($F$30,$AA$10:$AH$17,7,0)/2000))*$F$38</f>
        <v>45676.32</v>
      </c>
      <c r="Y33" s="38">
        <f>0.8*$F$38*H33*100</f>
        <v>6812.8</v>
      </c>
      <c r="Z33" s="64"/>
      <c r="AA33">
        <v>4</v>
      </c>
      <c r="AB33" s="22">
        <f aca="true" t="shared" si="1" ref="AB33:AB53">$AC$62*((VLOOKUP($AC$61,$AA$20:$AI$28,7,0)*VLOOKUP($AC$61,$AA$20:$AI$28,5,0)*AA33*AA33)/(VLOOKUP($AC$61,$AA$20:$AI$28,9,0)/VLOOKUP($AC$61,$AA$20:$AI$28,8,0))/VLOOKUP($AC$61,$AA$20:$AI$28,8,0))+((VLOOKUP($AC$63,$AA$11:$AH$17,4,0)*VLOOKUP($AC$63,$AA$11:$AH$17,5,0)*AA33*AA33)/(((VLOOKUP($AC$63,$AA$11:$AH$17,7,0)/2000))/((VLOOKUP($AC$63,$AA$11:$AH$17,8,0))))/VLOOKUP($AC$63,$AA$11:$AH$17,8,0))*$AF$58</f>
        <v>61.70052356020943</v>
      </c>
      <c r="AC33" s="22">
        <f aca="true" t="shared" si="2" ref="AC33:AC53">$AC$62*(1.3+0.29/((VLOOKUP($AC$61,$AA$20:$AI$28,9,0))/VLOOKUP($AC$61,$AA$20:$AI$28,8,0)))+(1.3+0.29/((VLOOKUP($AC$63,$AA$11:$AH$17,7,0))/VLOOKUP($AC$63,$AA$11:$AH$17,8,0)))*$AF$58</f>
        <v>9586.268339790577</v>
      </c>
      <c r="AD33" s="22">
        <f aca="true" t="shared" si="3" ref="AD33:AD53">$AC$62*(VLOOKUP($AC$61,$AA$20:$AI$28,6,0)*AA33)+(VLOOKUP($AC$63,$AA$11:$AH$17,3,0)*AA33)*$AF$58</f>
        <v>1327.08</v>
      </c>
      <c r="AE33" s="3">
        <f aca="true" t="shared" si="4" ref="AE33:AE53">$AC$62*(20*$AC$58*(VLOOKUP($AC$61,$AA$20:$AI$28,9,0)))+(20*$AC$58*(VLOOKUP($AC$63,$AA$10:$AH$17,7,0)/2000))*$AF$58</f>
        <v>0</v>
      </c>
      <c r="AF33" s="5">
        <f aca="true" t="shared" si="5" ref="AF33:AF53">$AC$62*(0.8*$AD$57*(VLOOKUP($AC$61,$AA$20:$AI$28,9,0))/2000)+(0.8*$AD$57*((VLOOKUP($AC$63,$AA$11:$AH$17,7,0))/2000/2000))*$AF$58</f>
        <v>0</v>
      </c>
      <c r="AG33" s="13">
        <f>SUM(AB33:AF33)</f>
        <v>10975.048863350787</v>
      </c>
      <c r="AH33" s="23">
        <f>AB33/AG33</f>
        <v>0.005621890556337048</v>
      </c>
      <c r="AI33" s="23">
        <f>AC33/AG33</f>
        <v>0.8734601967743584</v>
      </c>
      <c r="AJ33" s="23">
        <f>AD33/AG33</f>
        <v>0.12091791266930449</v>
      </c>
      <c r="AK33" s="23">
        <f>AE33/AG33</f>
        <v>0</v>
      </c>
      <c r="AL33" s="23">
        <f aca="true" t="shared" si="6" ref="AL33:AL52">AF34/AG34</f>
        <v>0</v>
      </c>
      <c r="AM33" s="1">
        <f aca="true" t="shared" si="7" ref="AM33:AM52">(375*(VLOOKUP($AC$61,$AA$20:$AJ$28,4,0))*0.83)/AA34</f>
        <v>186750</v>
      </c>
      <c r="AN33" s="1">
        <f aca="true" t="shared" si="8" ref="AN33:AO54">AG33*AA33/308</f>
        <v>142.5331021214388</v>
      </c>
    </row>
    <row r="34" spans="5:40" ht="12.75">
      <c r="E34" s="65" t="s">
        <v>139</v>
      </c>
      <c r="F34" s="51" t="s">
        <v>16</v>
      </c>
      <c r="G34" s="51" t="s">
        <v>16</v>
      </c>
      <c r="H34" s="90">
        <v>0</v>
      </c>
      <c r="I34" s="12">
        <v>0</v>
      </c>
      <c r="J34" s="6">
        <v>0</v>
      </c>
      <c r="K34" s="10">
        <v>20</v>
      </c>
      <c r="L34" s="32">
        <f>IF(O34&lt;=P34,O34/N34*308,P34/N34*308)</f>
        <v>19.999999999999996</v>
      </c>
      <c r="M34" s="68">
        <f>J34/L34</f>
        <v>0</v>
      </c>
      <c r="N34" s="38">
        <f>SUM(U34:Y34)</f>
        <v>20524.849075661485</v>
      </c>
      <c r="O34" s="38">
        <f>N34*K34/308</f>
        <v>1332.7824075104859</v>
      </c>
      <c r="P34" s="38">
        <f>$F$33*(VLOOKUP($F$32,$AA$20:$AI$28,4,0))+IF(I34&gt;1.8%,$F$35*(VLOOKUP($F$34,$AA$20:$AI$28,4,0)),0)</f>
        <v>12000</v>
      </c>
      <c r="Q34" s="69">
        <f>$F$12*J34/K34*VLOOKUP($F$11,$AA$20:$AD$28,2,0)*O34/P34+$F$14*J34/K34*VLOOKUP($F$13,$AA$20:$AD$28,2,0)*O34/P34</f>
        <v>0</v>
      </c>
      <c r="R34" s="115">
        <f>IF(O34/P34&gt;1,1,O34/P34)</f>
        <v>0.11106520062587383</v>
      </c>
      <c r="S34" s="38">
        <f>IF(COUNTIF($AL$20:$AN$27,R34),VLOOKUP(R34,$AL$20:$AN$27,3,0)*Q34,Q34*R34)</f>
        <v>0</v>
      </c>
      <c r="T34" s="70">
        <f>S34*$F$7</f>
        <v>0</v>
      </c>
      <c r="U34" s="38">
        <f>$F$33*((VLOOKUP($F$32,$AA$20:$AI$28,7,0)*VLOOKUP($F$32,$AA$20:$AI$28,5,0)*K34*K34)/(VLOOKUP($F$32,$AA$20:$AI$28,9,0)/VLOOKUP($F$32,$AA$20:$AI$28,8,0))/VLOOKUP($F$32,$AA$20:$AI$28,8,0))+((VLOOKUP($F$30,$AA$11:$AH$17,4,0)*VLOOKUP($F$30,$AA$11:$AH$17,5,0)*K34*K34)/(((VLOOKUP($F$30,$AA$11:$AH$17,7,0)/2000))/((VLOOKUP($F$30,$AA$11:$AH$17,8,0))))/VLOOKUP($F$30,$AA$11:$AH$17,8,0))*$F$38</f>
        <v>1781.9757755724</v>
      </c>
      <c r="V34" s="38">
        <f>$F$33*(1.3+0.29/((VLOOKUP($F$32,$AA$20:$AI$28,9,0))/VLOOKUP($F$32,$AA$20:$AI$28,8,0)))+(1.3+0.29/((VLOOKUP($F$30,$AA$11:$AH$17,7,0))/VLOOKUP($F$30,$AA$11:$AH$17,8,0)))*$F$38</f>
        <v>11076.073300089085</v>
      </c>
      <c r="W34" s="38">
        <f>$F$33*(VLOOKUP($F$11,$AA$20:$AI$28,6,0)*K34)+(VLOOKUP($F$30,$AA$11:$AH$17,3,0)*K34)*$F$38</f>
        <v>7666.799999999999</v>
      </c>
      <c r="X34" s="38">
        <f>$F$33*(20*I34*(VLOOKUP($F$32,$AA$20:$AI$28,9,0)))+(20*I34*(VLOOKUP($F$30,$AA$10:$AH$17,7,0)/2000))*$F$38</f>
        <v>0</v>
      </c>
      <c r="Y34" s="38">
        <f>0.8*$F$38*H34*100</f>
        <v>0</v>
      </c>
      <c r="Z34" s="64"/>
      <c r="AA34">
        <v>5</v>
      </c>
      <c r="AB34" s="22">
        <f t="shared" si="1"/>
        <v>96.40706806282724</v>
      </c>
      <c r="AC34" s="22">
        <f t="shared" si="2"/>
        <v>9586.268339790577</v>
      </c>
      <c r="AD34" s="22">
        <f t="shared" si="3"/>
        <v>1658.8499999999997</v>
      </c>
      <c r="AE34" s="3">
        <f t="shared" si="4"/>
        <v>0</v>
      </c>
      <c r="AF34" s="5">
        <f t="shared" si="5"/>
        <v>0</v>
      </c>
      <c r="AG34" s="13">
        <f aca="true" t="shared" si="9" ref="AG34:AH54">SUM(AB34:AF34)</f>
        <v>11341.525407853404</v>
      </c>
      <c r="AH34" s="23">
        <f aca="true" t="shared" si="10" ref="AH34:AI54">AB34/AG34</f>
        <v>0.008500361688214397</v>
      </c>
      <c r="AI34" s="23">
        <f aca="true" t="shared" si="11" ref="AI34:AJ54">AC34/AG34</f>
        <v>0.8452362442491727</v>
      </c>
      <c r="AJ34" s="23">
        <f aca="true" t="shared" si="12" ref="AJ34:AK54">AD34/AG34</f>
        <v>0.14626339406261296</v>
      </c>
      <c r="AK34" s="23">
        <f aca="true" t="shared" si="13" ref="AK34:AK53">AE34/AG34</f>
        <v>0</v>
      </c>
      <c r="AL34" s="23">
        <f t="shared" si="6"/>
        <v>0</v>
      </c>
      <c r="AM34" s="1">
        <f t="shared" si="7"/>
        <v>93375</v>
      </c>
      <c r="AN34" s="1">
        <f t="shared" si="8"/>
        <v>184.1156722054124</v>
      </c>
    </row>
    <row r="35" spans="5:40" ht="12.75">
      <c r="E35" s="65" t="s">
        <v>137</v>
      </c>
      <c r="F35" s="6">
        <v>2</v>
      </c>
      <c r="G35" s="6">
        <v>0</v>
      </c>
      <c r="H35" s="90">
        <v>0</v>
      </c>
      <c r="I35" s="12">
        <v>0</v>
      </c>
      <c r="J35" s="6">
        <v>0</v>
      </c>
      <c r="K35" s="10">
        <f>$H$9</f>
        <v>20</v>
      </c>
      <c r="L35" s="32">
        <f>IF(O35&lt;=P35,O35/N35*308,P35/N35*308)</f>
        <v>19.999999999999996</v>
      </c>
      <c r="M35" s="68">
        <f>J35/L35</f>
        <v>0</v>
      </c>
      <c r="N35" s="38">
        <f>SUM(U35:Y35)</f>
        <v>20524.849075661485</v>
      </c>
      <c r="O35" s="38">
        <f>N35*K35/308</f>
        <v>1332.7824075104859</v>
      </c>
      <c r="P35" s="38">
        <f>$F$33*(VLOOKUP($F$32,$AA$20:$AI$28,4,0))+IF(I35&gt;1.8%,$F$35*(VLOOKUP($F$34,$AA$20:$AI$28,4,0)),0)</f>
        <v>12000</v>
      </c>
      <c r="Q35" s="69">
        <f>$F$12*J35/K35*VLOOKUP($F$11,$AA$20:$AD$28,2,0)*O35/P35+$F$14*J35/K35*VLOOKUP($F$13,$AA$20:$AD$28,2,0)*O35/P35</f>
        <v>0</v>
      </c>
      <c r="R35" s="115">
        <f>IF(O35/P35&gt;1,1,O35/P35)</f>
        <v>0.11106520062587383</v>
      </c>
      <c r="S35" s="38">
        <f>IF(COUNTIF($AL$20:$AN$27,R35),VLOOKUP(R35,$AL$20:$AN$27,3,0)*Q35,Q35*R35)</f>
        <v>0</v>
      </c>
      <c r="T35" s="70">
        <f>S35*$F$7</f>
        <v>0</v>
      </c>
      <c r="U35" s="38">
        <f>$F$33*((VLOOKUP($F$32,$AA$20:$AI$28,7,0)*VLOOKUP($F$32,$AA$20:$AI$28,5,0)*K35*K35)/(VLOOKUP($F$32,$AA$20:$AI$28,9,0)/VLOOKUP($F$32,$AA$20:$AI$28,8,0))/VLOOKUP($F$32,$AA$20:$AI$28,8,0))+((VLOOKUP($F$30,$AA$11:$AH$17,4,0)*VLOOKUP($F$30,$AA$11:$AH$17,5,0)*K35*K35)/(((VLOOKUP($F$30,$AA$11:$AH$17,7,0)/2000))/((VLOOKUP($F$30,$AA$11:$AH$17,8,0))))/VLOOKUP($F$30,$AA$11:$AH$17,8,0))*$F$38</f>
        <v>1781.9757755724</v>
      </c>
      <c r="V35" s="38">
        <f>$F$33*(1.3+0.29/((VLOOKUP($F$32,$AA$20:$AI$28,9,0))/VLOOKUP($F$32,$AA$20:$AI$28,8,0)))+(1.3+0.29/((VLOOKUP($F$30,$AA$11:$AH$17,7,0))/VLOOKUP($F$30,$AA$11:$AH$17,8,0)))*$F$38</f>
        <v>11076.073300089085</v>
      </c>
      <c r="W35" s="38">
        <f>$F$33*(VLOOKUP($F$11,$AA$20:$AI$28,6,0)*K35)+(VLOOKUP($F$30,$AA$11:$AH$17,3,0)*K35)*$F$38</f>
        <v>7666.799999999999</v>
      </c>
      <c r="X35" s="38">
        <f>$F$33*(20*I35*(VLOOKUP($F$32,$AA$20:$AI$28,9,0)))+(20*I35*(VLOOKUP($F$30,$AA$10:$AH$17,7,0)/2000))*$F$38</f>
        <v>0</v>
      </c>
      <c r="Y35" s="38">
        <f>0.8*$F$38*H35*100</f>
        <v>0</v>
      </c>
      <c r="Z35" s="64"/>
      <c r="AA35">
        <v>10</v>
      </c>
      <c r="AB35" s="22">
        <f t="shared" si="1"/>
        <v>385.62827225130894</v>
      </c>
      <c r="AC35" s="22">
        <f t="shared" si="2"/>
        <v>9586.268339790577</v>
      </c>
      <c r="AD35" s="22">
        <f t="shared" si="3"/>
        <v>3317.6999999999994</v>
      </c>
      <c r="AE35" s="3">
        <f t="shared" si="4"/>
        <v>0</v>
      </c>
      <c r="AF35" s="5">
        <f t="shared" si="5"/>
        <v>0</v>
      </c>
      <c r="AG35" s="13">
        <f t="shared" si="9"/>
        <v>13289.596612041885</v>
      </c>
      <c r="AH35" s="23">
        <f t="shared" si="10"/>
        <v>0.02901730455098132</v>
      </c>
      <c r="AI35" s="23">
        <f t="shared" si="11"/>
        <v>0.7213362918107181</v>
      </c>
      <c r="AJ35" s="23">
        <f t="shared" si="12"/>
        <v>0.2496464036383005</v>
      </c>
      <c r="AK35" s="23">
        <f t="shared" si="13"/>
        <v>0</v>
      </c>
      <c r="AL35" s="23">
        <f t="shared" si="6"/>
        <v>0</v>
      </c>
      <c r="AM35" s="1">
        <f t="shared" si="7"/>
        <v>62250</v>
      </c>
      <c r="AN35" s="1">
        <f t="shared" si="8"/>
        <v>431.4804094818794</v>
      </c>
    </row>
    <row r="36" spans="5:40" ht="12.75">
      <c r="E36" s="65" t="s">
        <v>141</v>
      </c>
      <c r="F36" s="5">
        <f>VLOOKUP(F30,$AA$11:$AH$17,7,0)</f>
        <v>268000</v>
      </c>
      <c r="G36" s="5">
        <f>VLOOKUP(F30,$AA$11:$AH$17,6,0)</f>
        <v>67000</v>
      </c>
      <c r="H36" s="90">
        <v>0</v>
      </c>
      <c r="I36" s="12">
        <v>0</v>
      </c>
      <c r="J36" s="6">
        <v>0</v>
      </c>
      <c r="K36" s="10">
        <f>$H$9</f>
        <v>20</v>
      </c>
      <c r="L36" s="52">
        <f>IF(O36&lt;=P36,O36/N36*308,P36/N36*308)</f>
        <v>19.999999999999996</v>
      </c>
      <c r="M36" s="68">
        <f>J36/L36</f>
        <v>0</v>
      </c>
      <c r="N36" s="38">
        <f>SUM(U36:Y36)</f>
        <v>20524.849075661485</v>
      </c>
      <c r="O36" s="38">
        <f>N36*K36/308</f>
        <v>1332.7824075104859</v>
      </c>
      <c r="P36" s="38">
        <f>$F$33*(VLOOKUP($F$32,$AA$20:$AI$28,4,0))+IF(I36&gt;1.8%,$F$35*(VLOOKUP($F$34,$AA$20:$AI$28,4,0)),0)</f>
        <v>12000</v>
      </c>
      <c r="Q36" s="69">
        <f>$F$12*J36/K36*VLOOKUP($F$11,$AA$20:$AD$28,2,0)*O36/P36+$F$14*J36/K36*VLOOKUP($F$13,$AA$20:$AD$28,2,0)*O36/P36</f>
        <v>0</v>
      </c>
      <c r="R36" s="115">
        <f>IF(O36/P36&gt;1,1,O36/P36)</f>
        <v>0.11106520062587383</v>
      </c>
      <c r="S36" s="38">
        <f>IF(COUNTIF($AL$20:$AN$27,R36),VLOOKUP(R36,$AL$20:$AN$27,3,0)*Q36,Q36*R36)</f>
        <v>0</v>
      </c>
      <c r="T36" s="70">
        <f>S36*$F$7</f>
        <v>0</v>
      </c>
      <c r="U36" s="38">
        <f>$F$33*((VLOOKUP($F$32,$AA$20:$AI$28,7,0)*VLOOKUP($F$32,$AA$20:$AI$28,5,0)*K36*K36)/(VLOOKUP($F$32,$AA$20:$AI$28,9,0)/VLOOKUP($F$32,$AA$20:$AI$28,8,0))/VLOOKUP($F$32,$AA$20:$AI$28,8,0))+((VLOOKUP($F$30,$AA$11:$AH$17,4,0)*VLOOKUP($F$30,$AA$11:$AH$17,5,0)*K36*K36)/(((VLOOKUP($F$30,$AA$11:$AH$17,7,0)/2000))/((VLOOKUP($F$30,$AA$11:$AH$17,8,0))))/VLOOKUP($F$30,$AA$11:$AH$17,8,0))*$F$38</f>
        <v>1781.9757755724</v>
      </c>
      <c r="V36" s="38">
        <f>$F$33*(1.3+0.29/((VLOOKUP($F$32,$AA$20:$AI$28,9,0))/VLOOKUP($F$32,$AA$20:$AI$28,8,0)))+(1.3+0.29/((VLOOKUP($F$30,$AA$11:$AH$17,7,0))/VLOOKUP($F$30,$AA$11:$AH$17,8,0)))*$F$38</f>
        <v>11076.073300089085</v>
      </c>
      <c r="W36" s="38">
        <f>$F$33*(VLOOKUP($F$11,$AA$20:$AI$28,6,0)*K36)+(VLOOKUP($F$30,$AA$11:$AH$17,3,0)*K36)*$F$38</f>
        <v>7666.799999999999</v>
      </c>
      <c r="X36" s="38">
        <f>$F$33*(20*I36*(VLOOKUP($F$32,$AA$20:$AI$28,9,0)))+(20*I36*(VLOOKUP($F$30,$AA$10:$AH$17,7,0)/2000))*$F$38</f>
        <v>0</v>
      </c>
      <c r="Y36" s="38">
        <f>0.8*$F$38*H36*100</f>
        <v>0</v>
      </c>
      <c r="Z36" s="64"/>
      <c r="AA36">
        <v>15</v>
      </c>
      <c r="AB36" s="22">
        <f t="shared" si="1"/>
        <v>867.6636125654451</v>
      </c>
      <c r="AC36" s="22">
        <f t="shared" si="2"/>
        <v>9586.268339790577</v>
      </c>
      <c r="AD36" s="22">
        <f t="shared" si="3"/>
        <v>4976.549999999999</v>
      </c>
      <c r="AE36" s="3">
        <f t="shared" si="4"/>
        <v>0</v>
      </c>
      <c r="AF36" s="5">
        <f t="shared" si="5"/>
        <v>0</v>
      </c>
      <c r="AG36" s="13">
        <f t="shared" si="9"/>
        <v>15430.481952356022</v>
      </c>
      <c r="AH36" s="23">
        <f t="shared" si="10"/>
        <v>0.056230493334199765</v>
      </c>
      <c r="AI36" s="23">
        <f t="shared" si="11"/>
        <v>0.6212552770153031</v>
      </c>
      <c r="AJ36" s="23">
        <f t="shared" si="12"/>
        <v>0.322514229650497</v>
      </c>
      <c r="AK36" s="23">
        <f t="shared" si="13"/>
        <v>0</v>
      </c>
      <c r="AL36" s="23">
        <f t="shared" si="6"/>
        <v>0</v>
      </c>
      <c r="AM36" s="1">
        <f t="shared" si="7"/>
        <v>46687.5</v>
      </c>
      <c r="AN36" s="1">
        <f t="shared" si="8"/>
        <v>751.4845106666894</v>
      </c>
    </row>
    <row r="37" spans="5:40" ht="12.75">
      <c r="E37" s="65" t="s">
        <v>140</v>
      </c>
      <c r="F37" s="5">
        <f>F31*F36+F33*2000*VLOOKUP(F32,$AA$20:$AI$28,9,0)+F35*2000*VLOOKUP(F34,$AA$20:$AI$28,9,0)</f>
        <v>17032000</v>
      </c>
      <c r="G37" s="5">
        <f>G31*G36+G33*2000*VLOOKUP(G32,$AA$20:$AI$28,9,0)+G35*2000*VLOOKUP(G34,$AA$20:$AI$28,9,0)</f>
        <v>4831000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64"/>
      <c r="AA37">
        <v>20</v>
      </c>
      <c r="AB37" s="22">
        <f t="shared" si="1"/>
        <v>1542.5130890052358</v>
      </c>
      <c r="AC37" s="22">
        <f t="shared" si="2"/>
        <v>9586.268339790577</v>
      </c>
      <c r="AD37" s="22">
        <f t="shared" si="3"/>
        <v>6635.399999999999</v>
      </c>
      <c r="AE37" s="3">
        <f t="shared" si="4"/>
        <v>0</v>
      </c>
      <c r="AF37" s="5">
        <f t="shared" si="5"/>
        <v>0</v>
      </c>
      <c r="AG37" s="13">
        <f t="shared" si="9"/>
        <v>17764.18142879581</v>
      </c>
      <c r="AH37" s="23">
        <f t="shared" si="10"/>
        <v>0.08683277049314615</v>
      </c>
      <c r="AI37" s="23">
        <f t="shared" si="11"/>
        <v>0.5396403081231312</v>
      </c>
      <c r="AJ37" s="23">
        <f t="shared" si="12"/>
        <v>0.3735269213837226</v>
      </c>
      <c r="AK37" s="23">
        <f t="shared" si="13"/>
        <v>0</v>
      </c>
      <c r="AL37" s="23">
        <f t="shared" si="6"/>
        <v>0</v>
      </c>
      <c r="AM37" s="1">
        <f t="shared" si="7"/>
        <v>37350</v>
      </c>
      <c r="AN37" s="1">
        <f t="shared" si="8"/>
        <v>1153.5182745971306</v>
      </c>
    </row>
    <row r="38" spans="5:40" ht="12.75">
      <c r="E38" s="65" t="s">
        <v>142</v>
      </c>
      <c r="F38" s="5">
        <f>F37/2000</f>
        <v>8516</v>
      </c>
      <c r="G38" s="5">
        <f>G37/2000</f>
        <v>2415.5</v>
      </c>
      <c r="H38" s="10"/>
      <c r="I38" s="71" t="s">
        <v>144</v>
      </c>
      <c r="J38" s="71">
        <f>SUM(J32:J36)</f>
        <v>210</v>
      </c>
      <c r="K38" s="71"/>
      <c r="L38" s="71"/>
      <c r="M38" s="72">
        <f>SUM(M32:M36)</f>
        <v>11.358059573283956</v>
      </c>
      <c r="N38" s="71"/>
      <c r="O38" s="71"/>
      <c r="P38" s="71"/>
      <c r="Q38" s="73">
        <f>SUM(Q32:Q36)</f>
        <v>5554.976530462613</v>
      </c>
      <c r="R38" s="73"/>
      <c r="S38" s="73"/>
      <c r="T38" s="74">
        <f>SUM(T32:T36)</f>
        <v>3557.8089019802946</v>
      </c>
      <c r="U38" s="10"/>
      <c r="V38" s="10"/>
      <c r="W38" s="10"/>
      <c r="X38" s="10"/>
      <c r="Y38" s="10"/>
      <c r="Z38" s="64"/>
      <c r="AA38">
        <v>25</v>
      </c>
      <c r="AB38" s="22">
        <f t="shared" si="1"/>
        <v>2410.1767015706805</v>
      </c>
      <c r="AC38" s="22">
        <f t="shared" si="2"/>
        <v>9586.268339790577</v>
      </c>
      <c r="AD38" s="22">
        <f t="shared" si="3"/>
        <v>8294.25</v>
      </c>
      <c r="AE38" s="3">
        <f t="shared" si="4"/>
        <v>0</v>
      </c>
      <c r="AF38" s="5">
        <f t="shared" si="5"/>
        <v>0</v>
      </c>
      <c r="AG38" s="13">
        <f t="shared" si="9"/>
        <v>20290.695041361258</v>
      </c>
      <c r="AH38" s="23">
        <f t="shared" si="10"/>
        <v>0.11878236288395704</v>
      </c>
      <c r="AI38" s="23">
        <f t="shared" si="11"/>
        <v>0.4724465238992353</v>
      </c>
      <c r="AJ38" s="23">
        <f t="shared" si="12"/>
        <v>0.40877111321680765</v>
      </c>
      <c r="AK38" s="23">
        <f t="shared" si="13"/>
        <v>0</v>
      </c>
      <c r="AL38" s="23">
        <f t="shared" si="6"/>
        <v>0</v>
      </c>
      <c r="AM38" s="1">
        <f t="shared" si="7"/>
        <v>31125</v>
      </c>
      <c r="AN38" s="1">
        <f t="shared" si="8"/>
        <v>1646.9720001104918</v>
      </c>
    </row>
    <row r="39" spans="5:40" ht="51">
      <c r="E39" s="65" t="s">
        <v>158</v>
      </c>
      <c r="F39" s="37">
        <f>G38/F38</f>
        <v>0.28364255519023013</v>
      </c>
      <c r="G39" s="10"/>
      <c r="H39" s="66" t="s">
        <v>148</v>
      </c>
      <c r="I39" s="66" t="s">
        <v>149</v>
      </c>
      <c r="J39" s="9" t="s">
        <v>64</v>
      </c>
      <c r="K39" s="67" t="s">
        <v>73</v>
      </c>
      <c r="L39" s="67" t="s">
        <v>72</v>
      </c>
      <c r="M39" s="9" t="s">
        <v>145</v>
      </c>
      <c r="N39" s="66" t="s">
        <v>153</v>
      </c>
      <c r="O39" s="9" t="s">
        <v>65</v>
      </c>
      <c r="P39" s="9" t="s">
        <v>66</v>
      </c>
      <c r="Q39" s="9" t="s">
        <v>68</v>
      </c>
      <c r="R39" s="9"/>
      <c r="S39" s="114" t="s">
        <v>215</v>
      </c>
      <c r="T39" s="9" t="s">
        <v>94</v>
      </c>
      <c r="U39" s="66" t="s">
        <v>162</v>
      </c>
      <c r="V39" s="66" t="s">
        <v>168</v>
      </c>
      <c r="W39" s="66" t="s">
        <v>169</v>
      </c>
      <c r="X39" s="66" t="s">
        <v>149</v>
      </c>
      <c r="Y39" s="49" t="s">
        <v>170</v>
      </c>
      <c r="Z39" s="64"/>
      <c r="AA39">
        <v>30</v>
      </c>
      <c r="AB39" s="22">
        <f t="shared" si="1"/>
        <v>3470.6544502617803</v>
      </c>
      <c r="AC39" s="22">
        <f t="shared" si="2"/>
        <v>9586.268339790577</v>
      </c>
      <c r="AD39" s="22">
        <f t="shared" si="3"/>
        <v>9953.099999999999</v>
      </c>
      <c r="AE39" s="3">
        <f t="shared" si="4"/>
        <v>0</v>
      </c>
      <c r="AF39" s="5">
        <f t="shared" si="5"/>
        <v>0</v>
      </c>
      <c r="AG39" s="13">
        <f t="shared" si="9"/>
        <v>23010.022790052353</v>
      </c>
      <c r="AH39" s="23">
        <f t="shared" si="10"/>
        <v>0.15083229086423186</v>
      </c>
      <c r="AI39" s="23">
        <f t="shared" si="11"/>
        <v>0.4166127268650465</v>
      </c>
      <c r="AJ39" s="23">
        <f t="shared" si="12"/>
        <v>0.4325549822707217</v>
      </c>
      <c r="AK39" s="23">
        <f t="shared" si="13"/>
        <v>0</v>
      </c>
      <c r="AL39" s="23">
        <f t="shared" si="6"/>
        <v>0</v>
      </c>
      <c r="AM39" s="1">
        <f t="shared" si="7"/>
        <v>26678.571428571428</v>
      </c>
      <c r="AN39" s="1">
        <f t="shared" si="8"/>
        <v>2241.2359860440606</v>
      </c>
    </row>
    <row r="40" spans="5:40" ht="12.75">
      <c r="E40" s="65"/>
      <c r="F40" s="10"/>
      <c r="G40" s="10"/>
      <c r="H40" s="12">
        <v>0.02</v>
      </c>
      <c r="I40" s="12">
        <v>0.016</v>
      </c>
      <c r="J40" s="6">
        <v>20</v>
      </c>
      <c r="K40" s="10">
        <v>20</v>
      </c>
      <c r="L40" s="31">
        <f>IF(O40&lt;=P40,O40/N40*308,P40/N40*308)</f>
        <v>20.000000000000004</v>
      </c>
      <c r="M40" s="68">
        <f>J40/L40</f>
        <v>0.9999999999999998</v>
      </c>
      <c r="N40" s="38">
        <f>SUM(U40:Y40)</f>
        <v>113514.91132722865</v>
      </c>
      <c r="O40" s="38">
        <f>N40*K40/308</f>
        <v>7371.098138131731</v>
      </c>
      <c r="P40" s="38">
        <f>$G$33*(VLOOKUP($G$32,$AA$20:$AI$28,4,0))+IF(I40&gt;1.8%,$G$35*(VLOOKUP($G$34,$AA$20:$AI$28,4,0)),0)</f>
        <v>9000</v>
      </c>
      <c r="Q40" s="69">
        <f>$F$12*J40/K40*VLOOKUP($F$11,$AA$20:$AD$28,2,0)*O40/P40+$F$14*J40/K40*VLOOKUP($F$13,$AA$20:$AD$28,2,0)*O40/P40</f>
        <v>824.0887718431275</v>
      </c>
      <c r="R40" s="69">
        <f>IF(O40/P40&gt;1,1,O40/P40)</f>
        <v>0.819010904236859</v>
      </c>
      <c r="S40" s="38">
        <f>IF(COUNTIF($AL$20:$AN$27,R40),VLOOKUP(R40,$AL$20:$AN$27,3,0)*Q40,Q40*R40)</f>
        <v>674.9376901986824</v>
      </c>
      <c r="T40" s="70">
        <f>S40*$F$7</f>
        <v>742.4314592185507</v>
      </c>
      <c r="U40" s="38">
        <f>$F$33*((VLOOKUP($F$32,$AA$20:$AI$28,7,0)*VLOOKUP($F$32,$AA$20:$AI$28,5,0)*K40*K40)/(VLOOKUP($F$32,$AA$20:$AI$28,9,0)/VLOOKUP($F$32,$AA$20:$AI$28,8,0))/VLOOKUP($F$32,$AA$20:$AI$28,8,0))+((VLOOKUP($F$30,$AA$11:$AH$17,4,0)*VLOOKUP($F$30,$AA$11:$AH$17,5,0)*K40*K40)/(((VLOOKUP($F$30,$AA$11:$AH$17,7,0)/2000))/((VLOOKUP($F$30,$AA$11:$AH$17,8,0))))/VLOOKUP($F$30,$AA$11:$AH$17,8,0))*$G$38</f>
        <v>507.24443228881773</v>
      </c>
      <c r="V40" s="38">
        <f>$F$33*(1.3+0.29/((VLOOKUP($F$32,$AA$20:$AI$28,9,0))/VLOOKUP($F$32,$AA$20:$AI$28,8,0)))+(1.3+0.29/((VLOOKUP($F$30,$AA$11:$AH$17,7,0))/VLOOKUP($F$30,$AA$11:$AH$17,8,0)))*$G$38</f>
        <v>3145.3968949398295</v>
      </c>
      <c r="W40" s="38">
        <f>$F$33*(VLOOKUP($F$11,$AA$20:$AI$28,6,0)*K40)+(VLOOKUP($F$30,$AA$11:$AH$17,3,0)*K40)*$G$38</f>
        <v>2176.35</v>
      </c>
      <c r="X40" s="38">
        <f>$F$33*(20*I40*(VLOOKUP($F$32,$AA$20:$AI$28,9,0)))+(20*I40*(VLOOKUP($F$30,$AA$10:$AH$17,7,0)/2000))*$G$38</f>
        <v>103821.12</v>
      </c>
      <c r="Y40" s="38">
        <f>0.8*$G$38*H40*100</f>
        <v>3864.8</v>
      </c>
      <c r="Z40" s="64"/>
      <c r="AA40">
        <v>35</v>
      </c>
      <c r="AB40" s="22">
        <f t="shared" si="1"/>
        <v>4723.946335078534</v>
      </c>
      <c r="AC40" s="22">
        <f t="shared" si="2"/>
        <v>9586.268339790577</v>
      </c>
      <c r="AD40" s="22">
        <f t="shared" si="3"/>
        <v>11611.95</v>
      </c>
      <c r="AE40" s="3">
        <f t="shared" si="4"/>
        <v>0</v>
      </c>
      <c r="AF40" s="5">
        <f t="shared" si="5"/>
        <v>0</v>
      </c>
      <c r="AG40" s="13">
        <f t="shared" si="9"/>
        <v>25922.164674869113</v>
      </c>
      <c r="AH40" s="23">
        <f t="shared" si="10"/>
        <v>0.18223579682981803</v>
      </c>
      <c r="AI40" s="23">
        <f t="shared" si="11"/>
        <v>0.36980971535468343</v>
      </c>
      <c r="AJ40" s="23">
        <f t="shared" si="12"/>
        <v>0.44795448781549846</v>
      </c>
      <c r="AK40" s="23">
        <f t="shared" si="13"/>
        <v>0</v>
      </c>
      <c r="AL40" s="23">
        <f t="shared" si="6"/>
        <v>0</v>
      </c>
      <c r="AM40" s="1">
        <f t="shared" si="7"/>
        <v>23343.75</v>
      </c>
      <c r="AN40" s="1">
        <f t="shared" si="8"/>
        <v>2945.7005312351266</v>
      </c>
    </row>
    <row r="41" spans="5:40" ht="12.75">
      <c r="E41" s="65"/>
      <c r="F41" s="10"/>
      <c r="G41" s="10"/>
      <c r="H41" s="12">
        <v>0.01</v>
      </c>
      <c r="I41" s="12">
        <v>0.002</v>
      </c>
      <c r="J41" s="6">
        <v>190</v>
      </c>
      <c r="K41" s="10">
        <v>20</v>
      </c>
      <c r="L41" s="32">
        <f>IF(O41&lt;=P41,O41/N41*308,P41/N41*308)</f>
        <v>19.999999999999996</v>
      </c>
      <c r="M41" s="68">
        <f>J41/L41</f>
        <v>9.500000000000002</v>
      </c>
      <c r="N41" s="38">
        <f>SUM(U41:Y41)</f>
        <v>20739.031327228648</v>
      </c>
      <c r="O41" s="38">
        <f>N41*K41/308</f>
        <v>1346.6903459239381</v>
      </c>
      <c r="P41" s="38">
        <f>$G$33*(VLOOKUP($G$32,$AA$20:$AI$28,4,0))+IF(I41&gt;1.8%,$G$35*(VLOOKUP($G$34,$AA$20:$AI$28,4,0)),0)</f>
        <v>9000</v>
      </c>
      <c r="Q41" s="69">
        <f>$F$12*J41/K41*VLOOKUP($F$11,$AA$20:$AD$28,2,0)*O41/P41+$F$14*J41/K41*VLOOKUP($F$13,$AA$20:$AD$28,2,0)*O41/P41</f>
        <v>1430.3198164058144</v>
      </c>
      <c r="R41" s="69">
        <f>IF(O41/P41&gt;1,1,O41/P41)</f>
        <v>0.14963226065821536</v>
      </c>
      <c r="S41" s="38">
        <f>IF(COUNTIF($AL$20:$AN$27,R41),VLOOKUP(R41,$AL$20:$AN$27,3,0)*Q41,Q41*R41)</f>
        <v>214.02198759304557</v>
      </c>
      <c r="T41" s="70">
        <f>S41*$F$7</f>
        <v>235.42418635235015</v>
      </c>
      <c r="U41" s="38">
        <f>$F$33*((VLOOKUP($F$32,$AA$20:$AI$28,7,0)*VLOOKUP($F$32,$AA$20:$AI$28,5,0)*K41*K41)/(VLOOKUP($F$32,$AA$20:$AI$28,9,0)/VLOOKUP($F$32,$AA$20:$AI$28,8,0))/VLOOKUP($F$32,$AA$20:$AI$28,8,0))+((VLOOKUP($F$30,$AA$11:$AH$17,4,0)*VLOOKUP($F$30,$AA$11:$AH$17,5,0)*K41*K41)/(((VLOOKUP($F$30,$AA$11:$AH$17,7,0)/2000))/((VLOOKUP($F$30,$AA$11:$AH$17,8,0))))/VLOOKUP($F$30,$AA$11:$AH$17,8,0))*$G$38</f>
        <v>507.24443228881773</v>
      </c>
      <c r="V41" s="38">
        <f>$F$33*(1.3+0.29/((VLOOKUP($F$32,$AA$20:$AI$28,9,0))/VLOOKUP($F$32,$AA$20:$AI$28,8,0)))+(1.3+0.29/((VLOOKUP($F$30,$AA$11:$AH$17,7,0))/VLOOKUP($F$30,$AA$11:$AH$17,8,0)))*$G$38</f>
        <v>3145.3968949398295</v>
      </c>
      <c r="W41" s="38">
        <f>$F$33*(VLOOKUP($F$11,$AA$20:$AI$28,6,0)*K41)+(VLOOKUP($F$30,$AA$11:$AH$17,3,0)*K41)*$G$38</f>
        <v>2176.35</v>
      </c>
      <c r="X41" s="38">
        <f>$F$33*(20*I41*(VLOOKUP($F$32,$AA$20:$AI$28,9,0)))+(20*I41*(VLOOKUP($F$30,$AA$10:$AH$17,7,0)/2000))*$G$38</f>
        <v>12977.64</v>
      </c>
      <c r="Y41" s="38">
        <f>0.8*$G$38*H41*100</f>
        <v>1932.4</v>
      </c>
      <c r="Z41" s="64"/>
      <c r="AA41">
        <v>40</v>
      </c>
      <c r="AB41" s="22">
        <f t="shared" si="1"/>
        <v>6170.052356020943</v>
      </c>
      <c r="AC41" s="22">
        <f t="shared" si="2"/>
        <v>9586.268339790577</v>
      </c>
      <c r="AD41" s="22">
        <f t="shared" si="3"/>
        <v>13270.799999999997</v>
      </c>
      <c r="AE41" s="3">
        <f t="shared" si="4"/>
        <v>0</v>
      </c>
      <c r="AF41" s="5">
        <f t="shared" si="5"/>
        <v>0</v>
      </c>
      <c r="AG41" s="13">
        <f t="shared" si="9"/>
        <v>29027.120695811514</v>
      </c>
      <c r="AH41" s="23">
        <f t="shared" si="10"/>
        <v>0.21256163918839027</v>
      </c>
      <c r="AI41" s="23">
        <f t="shared" si="11"/>
        <v>0.3302521266318307</v>
      </c>
      <c r="AJ41" s="23">
        <f t="shared" si="12"/>
        <v>0.45718623417977916</v>
      </c>
      <c r="AK41" s="23">
        <f t="shared" si="13"/>
        <v>0</v>
      </c>
      <c r="AL41" s="23">
        <f t="shared" si="6"/>
        <v>0</v>
      </c>
      <c r="AM41" s="1">
        <f t="shared" si="7"/>
        <v>20750</v>
      </c>
      <c r="AN41" s="1">
        <f t="shared" si="8"/>
        <v>3769.755934520976</v>
      </c>
    </row>
    <row r="42" spans="5:40" ht="12.75">
      <c r="E42" s="65"/>
      <c r="F42" s="10"/>
      <c r="G42" s="10"/>
      <c r="H42" s="12"/>
      <c r="I42" s="12"/>
      <c r="J42" s="6">
        <v>0</v>
      </c>
      <c r="K42" s="10">
        <f>$H$9</f>
        <v>20</v>
      </c>
      <c r="L42" s="32">
        <f>IF(O42&lt;=P42,O42/N42*308,P42/N42*308)</f>
        <v>20.000000000000004</v>
      </c>
      <c r="M42" s="68">
        <f>J42/L42</f>
        <v>0</v>
      </c>
      <c r="N42" s="38">
        <f>SUM(U42:Y42)</f>
        <v>5828.991327228647</v>
      </c>
      <c r="O42" s="38">
        <f>N42*K42/308</f>
        <v>378.50593033952254</v>
      </c>
      <c r="P42" s="38">
        <f>$G$33*(VLOOKUP($G$32,$AA$20:$AI$28,4,0))+IF(I42&gt;1.8%,$G$35*(VLOOKUP($G$34,$AA$20:$AI$28,4,0)),0)</f>
        <v>9000</v>
      </c>
      <c r="Q42" s="69">
        <f>$F$12*J42/K42*VLOOKUP($F$11,$AA$20:$AD$28,2,0)*O42/P42+$F$14*J42/K42*VLOOKUP($F$13,$AA$20:$AD$28,2,0)*O42/P42</f>
        <v>0</v>
      </c>
      <c r="R42" s="69">
        <f>IF(O42/P42&gt;1,1,O42/P42)</f>
        <v>0.04205621448216917</v>
      </c>
      <c r="S42" s="38">
        <f>IF(COUNTIF($AL$20:$AN$27,R42),VLOOKUP(R42,$AL$20:$AN$27,3,0)*Q42,Q42*R42)</f>
        <v>0</v>
      </c>
      <c r="T42" s="70">
        <f>S42*$F$7</f>
        <v>0</v>
      </c>
      <c r="U42" s="38">
        <f>$F$33*((VLOOKUP($F$32,$AA$20:$AI$28,7,0)*VLOOKUP($F$32,$AA$20:$AI$28,5,0)*K42*K42)/(VLOOKUP($F$32,$AA$20:$AI$28,9,0)/VLOOKUP($F$32,$AA$20:$AI$28,8,0))/VLOOKUP($F$32,$AA$20:$AI$28,8,0))+((VLOOKUP($F$30,$AA$11:$AH$17,4,0)*VLOOKUP($F$30,$AA$11:$AH$17,5,0)*K42*K42)/(((VLOOKUP($F$30,$AA$11:$AH$17,7,0)/2000))/((VLOOKUP($F$30,$AA$11:$AH$17,8,0))))/VLOOKUP($F$30,$AA$11:$AH$17,8,0))*$G$38</f>
        <v>507.24443228881773</v>
      </c>
      <c r="V42" s="38">
        <f>$F$33*(1.3+0.29/((VLOOKUP($F$32,$AA$20:$AI$28,9,0))/VLOOKUP($F$32,$AA$20:$AI$28,8,0)))+(1.3+0.29/((VLOOKUP($F$30,$AA$11:$AH$17,7,0))/VLOOKUP($F$30,$AA$11:$AH$17,8,0)))*$G$38</f>
        <v>3145.3968949398295</v>
      </c>
      <c r="W42" s="38">
        <f>$F$33*(VLOOKUP($F$11,$AA$20:$AI$28,6,0)*K42)+(VLOOKUP($F$30,$AA$11:$AH$17,3,0)*K42)*$G$38</f>
        <v>2176.35</v>
      </c>
      <c r="X42" s="38">
        <f>$F$33*(20*I42*(VLOOKUP($F$32,$AA$20:$AI$28,9,0)))+(20*I42*(VLOOKUP($F$30,$AA$10:$AH$17,7,0)/2000))*$G$38</f>
        <v>0</v>
      </c>
      <c r="Y42" s="38">
        <f>0.8*$G$38*H42*100</f>
        <v>0</v>
      </c>
      <c r="Z42" s="64"/>
      <c r="AA42">
        <v>45</v>
      </c>
      <c r="AB42" s="22">
        <f t="shared" si="1"/>
        <v>7808.9725130890065</v>
      </c>
      <c r="AC42" s="22">
        <f t="shared" si="2"/>
        <v>9586.268339790577</v>
      </c>
      <c r="AD42" s="22">
        <f t="shared" si="3"/>
        <v>14929.65</v>
      </c>
      <c r="AE42" s="3">
        <f t="shared" si="4"/>
        <v>0</v>
      </c>
      <c r="AF42" s="5">
        <f t="shared" si="5"/>
        <v>0</v>
      </c>
      <c r="AG42" s="13">
        <f t="shared" si="9"/>
        <v>32324.89085287958</v>
      </c>
      <c r="AH42" s="23">
        <f t="shared" si="10"/>
        <v>0.24157769158850428</v>
      </c>
      <c r="AI42" s="23">
        <f t="shared" si="11"/>
        <v>0.2965599600450502</v>
      </c>
      <c r="AJ42" s="23">
        <f t="shared" si="12"/>
        <v>0.46186234836644563</v>
      </c>
      <c r="AK42" s="23">
        <f t="shared" si="13"/>
        <v>0</v>
      </c>
      <c r="AL42" s="23">
        <f t="shared" si="6"/>
        <v>0</v>
      </c>
      <c r="AM42" s="1">
        <f t="shared" si="7"/>
        <v>18675</v>
      </c>
      <c r="AN42" s="1">
        <f t="shared" si="8"/>
        <v>4722.792494738899</v>
      </c>
    </row>
    <row r="43" spans="5:40" ht="12.75">
      <c r="E43" s="65"/>
      <c r="F43" s="10"/>
      <c r="G43" s="10"/>
      <c r="H43" s="12"/>
      <c r="I43" s="12"/>
      <c r="J43" s="6">
        <v>0</v>
      </c>
      <c r="K43" s="10">
        <f>$H$9</f>
        <v>20</v>
      </c>
      <c r="L43" s="32">
        <f>IF(O43&lt;=P43,O43/N43*308,P43/N43*308)</f>
        <v>20.000000000000004</v>
      </c>
      <c r="M43" s="68">
        <f>J43/L43</f>
        <v>0</v>
      </c>
      <c r="N43" s="38">
        <f>SUM(U43:Y43)</f>
        <v>5828.991327228647</v>
      </c>
      <c r="O43" s="38">
        <f>N43*K43/308</f>
        <v>378.50593033952254</v>
      </c>
      <c r="P43" s="38">
        <f>$G$33*(VLOOKUP($G$32,$AA$20:$AI$28,4,0))+IF(I43&gt;1.8%,$G$35*(VLOOKUP($G$34,$AA$20:$AI$28,4,0)),0)</f>
        <v>9000</v>
      </c>
      <c r="Q43" s="69">
        <f>$F$12*J43/K43*VLOOKUP($F$11,$AA$20:$AD$28,2,0)*O43/P43+$F$14*J43/K43*VLOOKUP($F$13,$AA$20:$AD$28,2,0)*O43/P43</f>
        <v>0</v>
      </c>
      <c r="R43" s="69">
        <f>IF(O43/P43&gt;1,1,O43/P43)</f>
        <v>0.04205621448216917</v>
      </c>
      <c r="S43" s="38">
        <f>IF(COUNTIF($AL$20:$AN$27,R43),VLOOKUP(R43,$AL$20:$AN$27,3,0)*Q43,Q43*R43)</f>
        <v>0</v>
      </c>
      <c r="T43" s="70">
        <f>S43*$F$7</f>
        <v>0</v>
      </c>
      <c r="U43" s="38">
        <f>$F$33*((VLOOKUP($F$32,$AA$20:$AI$28,7,0)*VLOOKUP($F$32,$AA$20:$AI$28,5,0)*K43*K43)/(VLOOKUP($F$32,$AA$20:$AI$28,9,0)/VLOOKUP($F$32,$AA$20:$AI$28,8,0))/VLOOKUP($F$32,$AA$20:$AI$28,8,0))+((VLOOKUP($F$30,$AA$11:$AH$17,4,0)*VLOOKUP($F$30,$AA$11:$AH$17,5,0)*K43*K43)/(((VLOOKUP($F$30,$AA$11:$AH$17,7,0)/2000))/((VLOOKUP($F$30,$AA$11:$AH$17,8,0))))/VLOOKUP($F$30,$AA$11:$AH$17,8,0))*$G$38</f>
        <v>507.24443228881773</v>
      </c>
      <c r="V43" s="38">
        <f>$F$33*(1.3+0.29/((VLOOKUP($F$32,$AA$20:$AI$28,9,0))/VLOOKUP($F$32,$AA$20:$AI$28,8,0)))+(1.3+0.29/((VLOOKUP($F$30,$AA$11:$AH$17,7,0))/VLOOKUP($F$30,$AA$11:$AH$17,8,0)))*$G$38</f>
        <v>3145.3968949398295</v>
      </c>
      <c r="W43" s="38">
        <f>$F$33*(VLOOKUP($F$11,$AA$20:$AI$28,6,0)*K43)+(VLOOKUP($F$30,$AA$11:$AH$17,3,0)*K43)*$G$38</f>
        <v>2176.35</v>
      </c>
      <c r="X43" s="38">
        <f>$F$33*(20*I43*(VLOOKUP($F$32,$AA$20:$AI$28,9,0)))+(20*I43*(VLOOKUP($F$30,$AA$10:$AH$17,7,0)/2000))*$G$38</f>
        <v>0</v>
      </c>
      <c r="Y43" s="38">
        <f>0.8*$G$38*H43*100</f>
        <v>0</v>
      </c>
      <c r="Z43" s="64"/>
      <c r="AA43">
        <v>50</v>
      </c>
      <c r="AB43" s="22">
        <f t="shared" si="1"/>
        <v>9640.706806282722</v>
      </c>
      <c r="AC43" s="22">
        <f t="shared" si="2"/>
        <v>9586.268339790577</v>
      </c>
      <c r="AD43" s="22">
        <f t="shared" si="3"/>
        <v>16588.5</v>
      </c>
      <c r="AE43" s="3">
        <f t="shared" si="4"/>
        <v>0</v>
      </c>
      <c r="AF43" s="5">
        <f t="shared" si="5"/>
        <v>0</v>
      </c>
      <c r="AG43" s="13">
        <f t="shared" si="9"/>
        <v>35815.475146073295</v>
      </c>
      <c r="AH43" s="23">
        <f t="shared" si="10"/>
        <v>0.2691771299127858</v>
      </c>
      <c r="AI43" s="23">
        <f t="shared" si="11"/>
        <v>0.2676571593897055</v>
      </c>
      <c r="AJ43" s="23">
        <f t="shared" si="12"/>
        <v>0.4631657106975088</v>
      </c>
      <c r="AK43" s="23">
        <f t="shared" si="13"/>
        <v>0</v>
      </c>
      <c r="AL43" s="23">
        <f t="shared" si="6"/>
        <v>0</v>
      </c>
      <c r="AM43" s="1">
        <f t="shared" si="7"/>
        <v>16977.272727272728</v>
      </c>
      <c r="AN43" s="1">
        <f t="shared" si="8"/>
        <v>5814.200510726184</v>
      </c>
    </row>
    <row r="44" spans="5:40" ht="12.75">
      <c r="E44" s="65"/>
      <c r="F44" s="10"/>
      <c r="G44" s="10"/>
      <c r="H44" s="12"/>
      <c r="I44" s="12"/>
      <c r="J44" s="6">
        <v>0</v>
      </c>
      <c r="K44" s="10">
        <f>$H$9</f>
        <v>20</v>
      </c>
      <c r="L44" s="52">
        <f>IF(O44&lt;=P44,O44/N44*308,P44/N44*308)</f>
        <v>20.000000000000004</v>
      </c>
      <c r="M44" s="68">
        <f>J44/L44</f>
        <v>0</v>
      </c>
      <c r="N44" s="38">
        <f>SUM(U44:Y44)</f>
        <v>5828.991327228647</v>
      </c>
      <c r="O44" s="38">
        <f>N44*K44/308</f>
        <v>378.50593033952254</v>
      </c>
      <c r="P44" s="38">
        <f>$G$33*(VLOOKUP($G$32,$AA$20:$AI$28,4,0))+IF(I44&gt;1.8%,$G$35*(VLOOKUP($G$34,$AA$20:$AI$28,4,0)),0)</f>
        <v>9000</v>
      </c>
      <c r="Q44" s="69">
        <f>$F$12*J44/K44*VLOOKUP($F$11,$AA$20:$AD$28,2,0)*O44/P44+$F$14*J44/K44*VLOOKUP($F$13,$AA$20:$AD$28,2,0)*O44/P44</f>
        <v>0</v>
      </c>
      <c r="R44" s="69">
        <f>IF(O44/P44&gt;1,1,O44/P44)</f>
        <v>0.04205621448216917</v>
      </c>
      <c r="S44" s="38">
        <f>IF(COUNTIF($AL$20:$AN$27,R44),VLOOKUP(R44,$AL$20:$AN$27,3,0)*Q44,Q44*R44)</f>
        <v>0</v>
      </c>
      <c r="T44" s="70">
        <f>S44*$F$7</f>
        <v>0</v>
      </c>
      <c r="U44" s="38">
        <f>$F$33*((VLOOKUP($F$32,$AA$20:$AI$28,7,0)*VLOOKUP($F$32,$AA$20:$AI$28,5,0)*K44*K44)/(VLOOKUP($F$32,$AA$20:$AI$28,9,0)/VLOOKUP($F$32,$AA$20:$AI$28,8,0))/VLOOKUP($F$32,$AA$20:$AI$28,8,0))+((VLOOKUP($F$30,$AA$11:$AH$17,4,0)*VLOOKUP($F$30,$AA$11:$AH$17,5,0)*K44*K44)/(((VLOOKUP($F$30,$AA$11:$AH$17,7,0)/2000))/((VLOOKUP($F$30,$AA$11:$AH$17,8,0))))/VLOOKUP($F$30,$AA$11:$AH$17,8,0))*$G$38</f>
        <v>507.24443228881773</v>
      </c>
      <c r="V44" s="38">
        <f>$F$33*(1.3+0.29/((VLOOKUP($F$32,$AA$20:$AI$28,9,0))/VLOOKUP($F$32,$AA$20:$AI$28,8,0)))+(1.3+0.29/((VLOOKUP($F$30,$AA$11:$AH$17,7,0))/VLOOKUP($F$30,$AA$11:$AH$17,8,0)))*$G$38</f>
        <v>3145.3968949398295</v>
      </c>
      <c r="W44" s="38">
        <f>$F$33*(VLOOKUP($F$11,$AA$20:$AI$28,6,0)*K44)+(VLOOKUP($F$30,$AA$11:$AH$17,3,0)*K44)*$G$38</f>
        <v>2176.35</v>
      </c>
      <c r="X44" s="38">
        <f>$F$33*(20*I44*(VLOOKUP($F$32,$AA$20:$AI$28,9,0)))+(20*I44*(VLOOKUP($F$30,$AA$10:$AH$17,7,0)/2000))*$G$38</f>
        <v>0</v>
      </c>
      <c r="Y44" s="38">
        <f>0.8*$G$38*H44*100</f>
        <v>0</v>
      </c>
      <c r="Z44" s="64"/>
      <c r="AA44">
        <v>55</v>
      </c>
      <c r="AB44" s="22">
        <f t="shared" si="1"/>
        <v>11665.255235602097</v>
      </c>
      <c r="AC44" s="22">
        <f t="shared" si="2"/>
        <v>9586.268339790577</v>
      </c>
      <c r="AD44" s="22">
        <f t="shared" si="3"/>
        <v>18247.35</v>
      </c>
      <c r="AE44" s="3">
        <f t="shared" si="4"/>
        <v>0</v>
      </c>
      <c r="AF44" s="5">
        <f t="shared" si="5"/>
        <v>0</v>
      </c>
      <c r="AG44" s="13">
        <f t="shared" si="9"/>
        <v>39498.873575392674</v>
      </c>
      <c r="AH44" s="23">
        <f t="shared" si="10"/>
        <v>0.29533133934405187</v>
      </c>
      <c r="AI44" s="23">
        <f t="shared" si="11"/>
        <v>0.24269725873303655</v>
      </c>
      <c r="AJ44" s="23">
        <f t="shared" si="12"/>
        <v>0.46197140192291153</v>
      </c>
      <c r="AK44" s="23">
        <f t="shared" si="13"/>
        <v>0</v>
      </c>
      <c r="AL44" s="23">
        <f t="shared" si="6"/>
        <v>0</v>
      </c>
      <c r="AM44" s="1">
        <f t="shared" si="7"/>
        <v>15562.5</v>
      </c>
      <c r="AN44" s="1">
        <f t="shared" si="8"/>
        <v>7053.37028132012</v>
      </c>
    </row>
    <row r="45" spans="5:40" ht="12.75">
      <c r="E45" s="65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64"/>
      <c r="AA45">
        <v>60</v>
      </c>
      <c r="AB45" s="22">
        <f t="shared" si="1"/>
        <v>13882.617801047121</v>
      </c>
      <c r="AC45" s="22">
        <f t="shared" si="2"/>
        <v>9586.268339790577</v>
      </c>
      <c r="AD45" s="22">
        <f t="shared" si="3"/>
        <v>19906.199999999997</v>
      </c>
      <c r="AE45" s="3">
        <f t="shared" si="4"/>
        <v>0</v>
      </c>
      <c r="AF45" s="5">
        <f t="shared" si="5"/>
        <v>0</v>
      </c>
      <c r="AG45" s="13">
        <f t="shared" si="9"/>
        <v>43375.086140837695</v>
      </c>
      <c r="AH45" s="23">
        <f t="shared" si="10"/>
        <v>0.3200597171374058</v>
      </c>
      <c r="AI45" s="23">
        <f t="shared" si="11"/>
        <v>0.2210086294391262</v>
      </c>
      <c r="AJ45" s="23">
        <f t="shared" si="12"/>
        <v>0.45893165342346803</v>
      </c>
      <c r="AK45" s="23">
        <f t="shared" si="13"/>
        <v>0</v>
      </c>
      <c r="AL45" s="23">
        <f t="shared" si="6"/>
        <v>0</v>
      </c>
      <c r="AM45" s="1">
        <f t="shared" si="7"/>
        <v>14365.384615384615</v>
      </c>
      <c r="AN45" s="1">
        <f t="shared" si="8"/>
        <v>8449.692105357992</v>
      </c>
    </row>
    <row r="46" spans="5:40" ht="13.5" thickBot="1">
      <c r="E46" s="65"/>
      <c r="F46" s="10"/>
      <c r="G46" s="10"/>
      <c r="H46" s="10"/>
      <c r="I46" s="10"/>
      <c r="J46" s="71">
        <f>SUM(J40:J44)</f>
        <v>210</v>
      </c>
      <c r="K46" s="71"/>
      <c r="L46" s="71"/>
      <c r="M46" s="72">
        <f>SUM(M40:M44)</f>
        <v>10.500000000000002</v>
      </c>
      <c r="N46" s="71"/>
      <c r="O46" s="71"/>
      <c r="P46" s="71"/>
      <c r="Q46" s="73">
        <f>SUM(Q40:Q44)</f>
        <v>2254.4085882489417</v>
      </c>
      <c r="R46" s="73"/>
      <c r="S46" s="73"/>
      <c r="T46" s="74">
        <f>SUM(T40:T44)</f>
        <v>977.8556455709008</v>
      </c>
      <c r="U46" s="10"/>
      <c r="V46" s="10"/>
      <c r="W46" s="10"/>
      <c r="X46" s="10"/>
      <c r="Y46" s="10"/>
      <c r="Z46" s="64"/>
      <c r="AA46">
        <v>65</v>
      </c>
      <c r="AB46" s="22">
        <f t="shared" si="1"/>
        <v>16292.794502617804</v>
      </c>
      <c r="AC46" s="22">
        <f t="shared" si="2"/>
        <v>9586.268339790577</v>
      </c>
      <c r="AD46" s="22">
        <f t="shared" si="3"/>
        <v>21565.05</v>
      </c>
      <c r="AE46" s="3">
        <f t="shared" si="4"/>
        <v>0</v>
      </c>
      <c r="AF46" s="5">
        <f t="shared" si="5"/>
        <v>0</v>
      </c>
      <c r="AG46" s="13">
        <f t="shared" si="9"/>
        <v>47444.11284240838</v>
      </c>
      <c r="AH46" s="23">
        <f t="shared" si="10"/>
        <v>0.34341024684635546</v>
      </c>
      <c r="AI46" s="23">
        <f t="shared" si="11"/>
        <v>0.2020539064906236</v>
      </c>
      <c r="AJ46" s="23">
        <f t="shared" si="12"/>
        <v>0.454535846663021</v>
      </c>
      <c r="AK46" s="23">
        <f t="shared" si="13"/>
        <v>0</v>
      </c>
      <c r="AL46" s="23">
        <f t="shared" si="6"/>
        <v>0</v>
      </c>
      <c r="AM46" s="1">
        <f t="shared" si="7"/>
        <v>13339.285714285714</v>
      </c>
      <c r="AN46" s="1">
        <f t="shared" si="8"/>
        <v>10012.556281677094</v>
      </c>
    </row>
    <row r="47" spans="5:40" ht="14.25" thickBot="1" thickTop="1">
      <c r="E47" s="65"/>
      <c r="F47" s="10"/>
      <c r="G47" s="10"/>
      <c r="H47" s="10"/>
      <c r="I47" s="71" t="s">
        <v>159</v>
      </c>
      <c r="J47" s="71"/>
      <c r="K47" s="10"/>
      <c r="L47" s="10"/>
      <c r="M47" s="81">
        <f>M38+M46</f>
        <v>21.85805957328396</v>
      </c>
      <c r="N47" s="68"/>
      <c r="O47" s="68"/>
      <c r="P47" s="68"/>
      <c r="Q47" s="68">
        <f>Q38+Q46</f>
        <v>7809.385118711554</v>
      </c>
      <c r="R47" s="68"/>
      <c r="S47" s="68"/>
      <c r="T47" s="89">
        <f>T38+T46</f>
        <v>4535.664547551196</v>
      </c>
      <c r="U47" s="10"/>
      <c r="V47" s="10"/>
      <c r="W47" s="10"/>
      <c r="X47" s="10"/>
      <c r="Y47" s="10"/>
      <c r="Z47" s="64"/>
      <c r="AA47">
        <v>70</v>
      </c>
      <c r="AB47" s="22">
        <f t="shared" si="1"/>
        <v>18895.785340314134</v>
      </c>
      <c r="AC47" s="22">
        <f t="shared" si="2"/>
        <v>9586.268339790577</v>
      </c>
      <c r="AD47" s="22">
        <f t="shared" si="3"/>
        <v>23223.9</v>
      </c>
      <c r="AE47" s="3">
        <f t="shared" si="4"/>
        <v>0</v>
      </c>
      <c r="AF47" s="5">
        <f t="shared" si="5"/>
        <v>0</v>
      </c>
      <c r="AG47" s="13">
        <f t="shared" si="9"/>
        <v>51705.953680104714</v>
      </c>
      <c r="AH47" s="23">
        <f t="shared" si="10"/>
        <v>0.3654469939229611</v>
      </c>
      <c r="AI47" s="23">
        <f t="shared" si="11"/>
        <v>0.18539970075978227</v>
      </c>
      <c r="AJ47" s="23">
        <f t="shared" si="12"/>
        <v>0.4491533053172566</v>
      </c>
      <c r="AK47" s="23">
        <f t="shared" si="13"/>
        <v>0</v>
      </c>
      <c r="AL47" s="23">
        <f t="shared" si="6"/>
        <v>0</v>
      </c>
      <c r="AM47" s="1">
        <f t="shared" si="7"/>
        <v>12450</v>
      </c>
      <c r="AN47" s="1">
        <f t="shared" si="8"/>
        <v>11751.353109114709</v>
      </c>
    </row>
    <row r="48" spans="5:40" ht="13.5" thickTop="1">
      <c r="E48" s="65"/>
      <c r="F48" s="10"/>
      <c r="G48" s="10"/>
      <c r="H48" s="10"/>
      <c r="I48" s="71"/>
      <c r="J48" s="71"/>
      <c r="K48" s="10"/>
      <c r="L48" s="10"/>
      <c r="M48" s="68"/>
      <c r="N48" s="68"/>
      <c r="O48" s="68"/>
      <c r="P48" s="68"/>
      <c r="Q48" s="68"/>
      <c r="R48" s="68"/>
      <c r="S48" s="68"/>
      <c r="T48" s="76"/>
      <c r="U48" s="10"/>
      <c r="V48" s="10"/>
      <c r="W48" s="10"/>
      <c r="X48" s="10"/>
      <c r="Y48" s="10"/>
      <c r="Z48" s="64"/>
      <c r="AA48">
        <v>75</v>
      </c>
      <c r="AB48" s="22">
        <f t="shared" si="1"/>
        <v>21691.590314136127</v>
      </c>
      <c r="AC48" s="22">
        <f t="shared" si="2"/>
        <v>9586.268339790577</v>
      </c>
      <c r="AD48" s="22">
        <f t="shared" si="3"/>
        <v>24882.75</v>
      </c>
      <c r="AE48" s="3">
        <f t="shared" si="4"/>
        <v>0</v>
      </c>
      <c r="AF48" s="5">
        <f t="shared" si="5"/>
        <v>0</v>
      </c>
      <c r="AG48" s="13">
        <f t="shared" si="9"/>
        <v>56160.608653926705</v>
      </c>
      <c r="AH48" s="23">
        <f t="shared" si="10"/>
        <v>0.38624208024176154</v>
      </c>
      <c r="AI48" s="23">
        <f t="shared" si="11"/>
        <v>0.17069381136631098</v>
      </c>
      <c r="AJ48" s="23">
        <f t="shared" si="12"/>
        <v>0.44306410839192745</v>
      </c>
      <c r="AK48" s="23">
        <f t="shared" si="13"/>
        <v>0</v>
      </c>
      <c r="AL48" s="23">
        <f t="shared" si="6"/>
        <v>0</v>
      </c>
      <c r="AM48" s="1">
        <f t="shared" si="7"/>
        <v>11671.875</v>
      </c>
      <c r="AN48" s="1">
        <f t="shared" si="8"/>
        <v>13675.472886508125</v>
      </c>
    </row>
    <row r="49" spans="5:40" ht="15.75">
      <c r="E49" s="63" t="s">
        <v>188</v>
      </c>
      <c r="F49" s="10" t="s">
        <v>150</v>
      </c>
      <c r="G49" s="10" t="s">
        <v>151</v>
      </c>
      <c r="H49" s="10" t="s">
        <v>143</v>
      </c>
      <c r="I49" s="10"/>
      <c r="J49" s="10"/>
      <c r="K49" s="10"/>
      <c r="L49" s="10"/>
      <c r="M49" s="133" t="s">
        <v>161</v>
      </c>
      <c r="N49" s="134"/>
      <c r="O49" s="134"/>
      <c r="P49" s="134"/>
      <c r="Q49" s="135"/>
      <c r="R49" s="112"/>
      <c r="S49" s="112"/>
      <c r="T49" s="10"/>
      <c r="U49" s="10"/>
      <c r="V49" s="10"/>
      <c r="W49" s="10"/>
      <c r="X49" s="10"/>
      <c r="Y49" s="10"/>
      <c r="Z49" s="64"/>
      <c r="AA49">
        <v>80</v>
      </c>
      <c r="AB49" s="22">
        <f t="shared" si="1"/>
        <v>24680.209424083772</v>
      </c>
      <c r="AC49" s="22">
        <f t="shared" si="2"/>
        <v>9586.268339790577</v>
      </c>
      <c r="AD49" s="22">
        <f t="shared" si="3"/>
        <v>26541.599999999995</v>
      </c>
      <c r="AE49" s="3">
        <f t="shared" si="4"/>
        <v>0</v>
      </c>
      <c r="AF49" s="5">
        <f t="shared" si="5"/>
        <v>0</v>
      </c>
      <c r="AG49" s="13">
        <f t="shared" si="9"/>
        <v>60808.077763874346</v>
      </c>
      <c r="AH49" s="23">
        <f t="shared" si="10"/>
        <v>0.4058705739707844</v>
      </c>
      <c r="AI49" s="23">
        <f t="shared" si="11"/>
        <v>0.1576479423838277</v>
      </c>
      <c r="AJ49" s="23">
        <f t="shared" si="12"/>
        <v>0.43648148364538786</v>
      </c>
      <c r="AK49" s="23">
        <f t="shared" si="13"/>
        <v>0</v>
      </c>
      <c r="AL49" s="23">
        <f t="shared" si="6"/>
        <v>0</v>
      </c>
      <c r="AM49" s="1">
        <f t="shared" si="7"/>
        <v>10985.29411764706</v>
      </c>
      <c r="AN49" s="1">
        <f t="shared" si="8"/>
        <v>15794.305912694634</v>
      </c>
    </row>
    <row r="50" spans="5:40" ht="12.75">
      <c r="E50" s="65" t="s">
        <v>30</v>
      </c>
      <c r="F50" s="51" t="str">
        <f>F9</f>
        <v>C. Hopper Car</v>
      </c>
      <c r="G50" s="51" t="str">
        <f>F50</f>
        <v>C. Hopper Car</v>
      </c>
      <c r="H50" s="6">
        <v>20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64"/>
      <c r="AA50">
        <v>85</v>
      </c>
      <c r="AB50" s="22">
        <f t="shared" si="1"/>
        <v>27861.642670157067</v>
      </c>
      <c r="AC50" s="22">
        <f t="shared" si="2"/>
        <v>9586.268339790577</v>
      </c>
      <c r="AD50" s="22">
        <f t="shared" si="3"/>
        <v>28200.449999999997</v>
      </c>
      <c r="AE50" s="3">
        <f t="shared" si="4"/>
        <v>0</v>
      </c>
      <c r="AF50" s="5">
        <f t="shared" si="5"/>
        <v>0</v>
      </c>
      <c r="AG50" s="13">
        <f t="shared" si="9"/>
        <v>65648.36100994764</v>
      </c>
      <c r="AH50" s="23">
        <f t="shared" si="10"/>
        <v>0.4244072851405265</v>
      </c>
      <c r="AI50" s="23">
        <f t="shared" si="11"/>
        <v>0.1460244885373144</v>
      </c>
      <c r="AJ50" s="23">
        <f t="shared" si="12"/>
        <v>0.4295682263221592</v>
      </c>
      <c r="AK50" s="23">
        <f t="shared" si="13"/>
        <v>0</v>
      </c>
      <c r="AL50" s="23">
        <f t="shared" si="6"/>
        <v>0</v>
      </c>
      <c r="AM50" s="1">
        <f t="shared" si="7"/>
        <v>10375</v>
      </c>
      <c r="AN50" s="1">
        <f t="shared" si="8"/>
        <v>18117.242486511524</v>
      </c>
    </row>
    <row r="51" spans="5:40" ht="51">
      <c r="E51" s="65" t="s">
        <v>138</v>
      </c>
      <c r="F51" s="6">
        <v>110</v>
      </c>
      <c r="G51" s="6">
        <f>F51</f>
        <v>110</v>
      </c>
      <c r="H51" s="66" t="s">
        <v>146</v>
      </c>
      <c r="I51" s="66" t="s">
        <v>147</v>
      </c>
      <c r="J51" s="9" t="s">
        <v>64</v>
      </c>
      <c r="K51" s="67" t="s">
        <v>73</v>
      </c>
      <c r="L51" s="67" t="s">
        <v>72</v>
      </c>
      <c r="M51" s="9" t="s">
        <v>145</v>
      </c>
      <c r="N51" s="66" t="s">
        <v>152</v>
      </c>
      <c r="O51" s="9" t="s">
        <v>65</v>
      </c>
      <c r="P51" s="9" t="s">
        <v>66</v>
      </c>
      <c r="Q51" s="9" t="s">
        <v>68</v>
      </c>
      <c r="R51" s="9"/>
      <c r="S51" s="114" t="s">
        <v>215</v>
      </c>
      <c r="T51" s="9" t="s">
        <v>94</v>
      </c>
      <c r="U51" s="66" t="s">
        <v>154</v>
      </c>
      <c r="V51" s="66" t="s">
        <v>155</v>
      </c>
      <c r="W51" s="66" t="s">
        <v>156</v>
      </c>
      <c r="X51" s="66" t="s">
        <v>147</v>
      </c>
      <c r="Y51" s="66" t="s">
        <v>171</v>
      </c>
      <c r="Z51" s="64"/>
      <c r="AA51">
        <v>90</v>
      </c>
      <c r="AB51" s="22">
        <f t="shared" si="1"/>
        <v>31235.890052356026</v>
      </c>
      <c r="AC51" s="22">
        <f t="shared" si="2"/>
        <v>9586.268339790577</v>
      </c>
      <c r="AD51" s="22">
        <f t="shared" si="3"/>
        <v>29859.3</v>
      </c>
      <c r="AE51" s="3">
        <f t="shared" si="4"/>
        <v>0</v>
      </c>
      <c r="AF51" s="5">
        <f t="shared" si="5"/>
        <v>0</v>
      </c>
      <c r="AG51" s="13">
        <f t="shared" si="9"/>
        <v>70681.4583921466</v>
      </c>
      <c r="AH51" s="23">
        <f t="shared" si="10"/>
        <v>0.4419248097436914</v>
      </c>
      <c r="AI51" s="23">
        <f t="shared" si="11"/>
        <v>0.13562635177397112</v>
      </c>
      <c r="AJ51" s="23">
        <f t="shared" si="12"/>
        <v>0.42244883848233755</v>
      </c>
      <c r="AK51" s="23">
        <f t="shared" si="13"/>
        <v>0</v>
      </c>
      <c r="AL51" s="23">
        <f t="shared" si="6"/>
        <v>0</v>
      </c>
      <c r="AM51" s="1">
        <f t="shared" si="7"/>
        <v>9828.947368421053</v>
      </c>
      <c r="AN51" s="1">
        <f t="shared" si="8"/>
        <v>20653.67290679608</v>
      </c>
    </row>
    <row r="52" spans="5:40" ht="12.75">
      <c r="E52" s="65" t="s">
        <v>39</v>
      </c>
      <c r="F52" s="51" t="s">
        <v>16</v>
      </c>
      <c r="G52" s="51" t="s">
        <v>16</v>
      </c>
      <c r="H52" s="12">
        <v>0.01</v>
      </c>
      <c r="I52" s="12">
        <v>0.001</v>
      </c>
      <c r="J52" s="6">
        <v>533</v>
      </c>
      <c r="K52" s="10">
        <v>20</v>
      </c>
      <c r="L52" s="31">
        <f>IF(O52&lt;=P52,O52/N52*308,P52/N52*308)</f>
        <v>20.000000000000004</v>
      </c>
      <c r="M52" s="68">
        <f>J52/L52</f>
        <v>26.649999999999995</v>
      </c>
      <c r="N52" s="38">
        <f>SUM(U52:Y52)</f>
        <v>87686.45944890054</v>
      </c>
      <c r="O52" s="38">
        <f>N52*K52/308</f>
        <v>5693.925938240295</v>
      </c>
      <c r="P52" s="38">
        <f>$F$53*(VLOOKUP($F$52,$AA$20:$AI$28,4,0))+IF(I52&gt;1.8%,$F$55*(VLOOKUP($F$54,$AA$20:$AI$28,4,0)),0)</f>
        <v>6000</v>
      </c>
      <c r="Q52" s="69">
        <f>$F$12*J52/K52*VLOOKUP($F$11,$AA$20:$AD$28,2,0)*O52/P52+$F$14*J52/K52*VLOOKUP($F$13,$AA$20:$AD$28,2,0)*O52/P52</f>
        <v>25447.32227281321</v>
      </c>
      <c r="R52" s="69">
        <f>IF(O52/P52&gt;1,1,O52/P52)</f>
        <v>0.9489876563733826</v>
      </c>
      <c r="S52" s="38">
        <f>IF(COUNTIF($AL$20:$AN$27,R52),VLOOKUP(R52,$AL$20:$AN$27,3,0)*Q52,Q52*R52)</f>
        <v>24149.194724655186</v>
      </c>
      <c r="T52" s="70">
        <f>S52*$F$7</f>
        <v>26564.114197120707</v>
      </c>
      <c r="U52" s="38">
        <f>$F$12*((VLOOKUP($F$11,$AA$20:$AI$28,7,0)*VLOOKUP($F$11,$AA$20:$AI$28,5,0)*K52*K52)/(VLOOKUP($F$11,$AA$20:$AI$28,9,0)/VLOOKUP($F$11,$AA$20:$AI$28,8,0))/VLOOKUP($F$11,$AA$20:$AI$28,8,0))+((VLOOKUP($F$9,$AA$11:$AH$17,4,0)*VLOOKUP($F$9,$AA$11:$AH$17,5,0)*K52*K52)/(((VLOOKUP($F$9,$AA$11:$AH$17,7,0)/2000))/((VLOOKUP($F$9,$AA$11:$AH$17,8,0))))/VLOOKUP($F$9,$AA$11:$AH$17,8,0))*$F$17</f>
        <v>1781.9757755724</v>
      </c>
      <c r="V52" s="38">
        <f>$F$53*(1.3+0.29/((VLOOKUP($F$52,$AA$20:$AI$28,9,0))/VLOOKUP($F$52,$AA$20:$AI$28,8,0)))+(1.3+0.29/((VLOOKUP($F$50,$AA$11:$AH$17,7,0))/VLOOKUP($F$50,$AA$11:$AH$17,8,0)))*$F$58</f>
        <v>19661.283673328126</v>
      </c>
      <c r="W52" s="38">
        <f>$F$53*(VLOOKUP($F$52,$AA$20:$AI$28,6,0)*K52)+(VLOOKUP($F$50,$AA$11:$AH$17,3,0)*K52)*$F$58</f>
        <v>13611</v>
      </c>
      <c r="X52" s="38">
        <f>$F$53*(20*I52*(VLOOKUP($F$52,$AA$20:$AI$28,9,0)))+(20*I52*(VLOOKUP($F$50,$AA$10:$AH$17,7,0)/2000))*$F$58</f>
        <v>40534.6</v>
      </c>
      <c r="Y52" s="38">
        <f>0.8*$F$58*H52*100</f>
        <v>12097.6</v>
      </c>
      <c r="Z52" s="64"/>
      <c r="AA52">
        <v>95</v>
      </c>
      <c r="AB52" s="22">
        <f t="shared" si="1"/>
        <v>34802.95157068063</v>
      </c>
      <c r="AC52" s="22">
        <f t="shared" si="2"/>
        <v>9586.268339790577</v>
      </c>
      <c r="AD52" s="22">
        <f t="shared" si="3"/>
        <v>31518.149999999998</v>
      </c>
      <c r="AE52" s="3">
        <f t="shared" si="4"/>
        <v>0</v>
      </c>
      <c r="AF52" s="5">
        <f t="shared" si="5"/>
        <v>0</v>
      </c>
      <c r="AG52" s="13">
        <f t="shared" si="9"/>
        <v>75907.3699104712</v>
      </c>
      <c r="AH52" s="23">
        <f t="shared" si="10"/>
        <v>0.4584923916047796</v>
      </c>
      <c r="AI52" s="23">
        <f t="shared" si="11"/>
        <v>0.12628903295025348</v>
      </c>
      <c r="AJ52" s="23">
        <f t="shared" si="12"/>
        <v>0.41521857544496693</v>
      </c>
      <c r="AK52" s="23">
        <f t="shared" si="13"/>
        <v>0</v>
      </c>
      <c r="AL52" s="23">
        <f t="shared" si="6"/>
        <v>0</v>
      </c>
      <c r="AM52" s="1">
        <f t="shared" si="7"/>
        <v>9337.5</v>
      </c>
      <c r="AN52" s="1">
        <f t="shared" si="8"/>
        <v>23412.987472385597</v>
      </c>
    </row>
    <row r="53" spans="5:40" ht="12.75">
      <c r="E53" s="65" t="s">
        <v>41</v>
      </c>
      <c r="F53" s="6">
        <v>2</v>
      </c>
      <c r="G53" s="6">
        <v>2</v>
      </c>
      <c r="H53" s="12">
        <v>0</v>
      </c>
      <c r="I53" s="12">
        <v>0</v>
      </c>
      <c r="J53" s="6">
        <v>0</v>
      </c>
      <c r="K53" s="10">
        <v>20</v>
      </c>
      <c r="L53" s="32">
        <f>IF(O53&lt;=P53,O53/N53*308,P53/N53*308)</f>
        <v>19.999999999999996</v>
      </c>
      <c r="M53" s="68">
        <f>J53/L53</f>
        <v>0</v>
      </c>
      <c r="N53" s="38">
        <f>SUM(U53:Y53)</f>
        <v>35054.25944890053</v>
      </c>
      <c r="O53" s="38">
        <f>N53*K53/308</f>
        <v>2276.250613564969</v>
      </c>
      <c r="P53" s="38">
        <f>$F$53*(VLOOKUP($F$52,$AA$20:$AI$28,4,0))+IF(I53&gt;1.8%,$F$55*(VLOOKUP($F$54,$AA$20:$AI$28,4,0)),0)</f>
        <v>6000</v>
      </c>
      <c r="Q53" s="69">
        <f>$F$12*J53/K53*VLOOKUP($F$11,$AA$20:$AD$28,2,0)*O53/P53+$F$14*J53/K53*VLOOKUP($F$13,$AA$20:$AD$28,2,0)*O53/P53</f>
        <v>0</v>
      </c>
      <c r="R53" s="69">
        <f>IF(O53/P53&gt;1,1,O53/P53)</f>
        <v>0.3793751022608282</v>
      </c>
      <c r="S53" s="38">
        <f>IF(COUNTIF($AL$20:$AN$27,R53),VLOOKUP(R53,$AL$20:$AN$27,3,0)*Q53,Q53*R53)</f>
        <v>0</v>
      </c>
      <c r="T53" s="70">
        <f>S53*$F$7</f>
        <v>0</v>
      </c>
      <c r="U53" s="38">
        <f>$F$12*((VLOOKUP($F$11,$AA$20:$AI$28,7,0)*VLOOKUP($F$11,$AA$20:$AI$28,5,0)*K53*K53)/(VLOOKUP($F$11,$AA$20:$AI$28,9,0)/VLOOKUP($F$11,$AA$20:$AI$28,8,0))/VLOOKUP($F$11,$AA$20:$AI$28,8,0))+((VLOOKUP($F$9,$AA$11:$AH$17,4,0)*VLOOKUP($F$9,$AA$11:$AH$17,5,0)*K53*K53)/(((VLOOKUP($F$9,$AA$11:$AH$17,7,0)/2000))/((VLOOKUP($F$9,$AA$11:$AH$17,8,0))))/VLOOKUP($F$9,$AA$11:$AH$17,8,0))*$F$17</f>
        <v>1781.9757755724</v>
      </c>
      <c r="V53" s="38">
        <f>$F$53*(1.3+0.29/((VLOOKUP($F$52,$AA$20:$AI$28,9,0))/VLOOKUP($F$52,$AA$20:$AI$28,8,0)))+(1.3+0.29/((VLOOKUP($F$50,$AA$11:$AH$17,7,0))/VLOOKUP($F$50,$AA$11:$AH$17,8,0)))*$F$58</f>
        <v>19661.283673328126</v>
      </c>
      <c r="W53" s="38">
        <f>$F$53*(VLOOKUP($F$52,$AA$20:$AI$28,6,0)*K53)+(VLOOKUP($F$50,$AA$11:$AH$17,3,0)*K53)*$F$58</f>
        <v>13611</v>
      </c>
      <c r="X53" s="38">
        <f>$F$53*(20*I53*(VLOOKUP($F$52,$AA$20:$AI$28,9,0)))+(20*I53*(VLOOKUP($F$50,$AA$10:$AH$17,7,0)/2000))*$F$58</f>
        <v>0</v>
      </c>
      <c r="Y53" s="38">
        <f>0.8*$F$58*H53*100</f>
        <v>0</v>
      </c>
      <c r="Z53" s="64"/>
      <c r="AA53">
        <v>100</v>
      </c>
      <c r="AB53" s="22">
        <f t="shared" si="1"/>
        <v>38562.82722513089</v>
      </c>
      <c r="AC53" s="22">
        <f t="shared" si="2"/>
        <v>9586.268339790577</v>
      </c>
      <c r="AD53" s="22">
        <f t="shared" si="3"/>
        <v>33177</v>
      </c>
      <c r="AE53" s="3">
        <f t="shared" si="4"/>
        <v>0</v>
      </c>
      <c r="AF53" s="5">
        <f t="shared" si="5"/>
        <v>0</v>
      </c>
      <c r="AG53" s="13">
        <f t="shared" si="9"/>
        <v>81326.09556492147</v>
      </c>
      <c r="AH53" s="23">
        <f t="shared" si="10"/>
        <v>0.47417531798691515</v>
      </c>
      <c r="AI53" s="23">
        <f t="shared" si="11"/>
        <v>0.11787444452116841</v>
      </c>
      <c r="AJ53" s="23">
        <f t="shared" si="12"/>
        <v>0.40795023749191633</v>
      </c>
      <c r="AK53" s="23">
        <f t="shared" si="13"/>
        <v>0</v>
      </c>
      <c r="AL53" s="23">
        <f>AF54/AH54</f>
        <v>0</v>
      </c>
      <c r="AM53" t="e">
        <f>(375*AA54*(VLOOKUP($AC$61,$AA$20:$AJ$28,4,0))*0.83)/AA54</f>
        <v>#DIV/0!</v>
      </c>
      <c r="AN53" s="1">
        <f t="shared" si="8"/>
        <v>26404.57648211736</v>
      </c>
    </row>
    <row r="54" spans="5:41" ht="12.75">
      <c r="E54" s="65" t="s">
        <v>139</v>
      </c>
      <c r="F54" s="51" t="s">
        <v>16</v>
      </c>
      <c r="G54" s="51" t="s">
        <v>16</v>
      </c>
      <c r="H54" s="12">
        <v>0</v>
      </c>
      <c r="I54" s="12">
        <v>0</v>
      </c>
      <c r="J54" s="6">
        <v>0</v>
      </c>
      <c r="K54" s="10">
        <v>20</v>
      </c>
      <c r="L54" s="32">
        <f>IF(O54&lt;=P54,O54/N54*308,P54/N54*308)</f>
        <v>19.999999999999996</v>
      </c>
      <c r="M54" s="68">
        <f>J54/L54</f>
        <v>0</v>
      </c>
      <c r="N54" s="38">
        <f>SUM(U54:Y54)</f>
        <v>35054.25944890053</v>
      </c>
      <c r="O54" s="38">
        <f>N54*K54/308</f>
        <v>2276.250613564969</v>
      </c>
      <c r="P54" s="38">
        <f>$F$53*(VLOOKUP($F$52,$AA$20:$AI$28,4,0))+IF(I54&gt;1.8%,$F$55*(VLOOKUP($F$54,$AA$20:$AI$28,4,0)),0)</f>
        <v>6000</v>
      </c>
      <c r="Q54" s="69">
        <f>$F$12*J54/K54*VLOOKUP($F$11,$AA$20:$AD$28,2,0)*O54/P54+$F$14*J54/K54*VLOOKUP($F$13,$AA$20:$AD$28,2,0)*O54/P54</f>
        <v>0</v>
      </c>
      <c r="R54" s="69">
        <f>IF(O54/P54&gt;1,1,O54/P54)</f>
        <v>0.3793751022608282</v>
      </c>
      <c r="S54" s="38">
        <f>IF(COUNTIF($AL$20:$AN$27,R54),VLOOKUP(R54,$AL$20:$AN$27,3,0)*Q54,Q54*R54)</f>
        <v>0</v>
      </c>
      <c r="T54" s="70">
        <f>S54*$F$7</f>
        <v>0</v>
      </c>
      <c r="U54" s="38">
        <f>$F$12*((VLOOKUP($F$11,$AA$20:$AI$28,7,0)*VLOOKUP($F$11,$AA$20:$AI$28,5,0)*K54*K54)/(VLOOKUP($F$11,$AA$20:$AI$28,9,0)/VLOOKUP($F$11,$AA$20:$AI$28,8,0))/VLOOKUP($F$11,$AA$20:$AI$28,8,0))+((VLOOKUP($F$9,$AA$11:$AH$17,4,0)*VLOOKUP($F$9,$AA$11:$AH$17,5,0)*K54*K54)/(((VLOOKUP($F$9,$AA$11:$AH$17,7,0)/2000))/((VLOOKUP($F$9,$AA$11:$AH$17,8,0))))/VLOOKUP($F$9,$AA$11:$AH$17,8,0))*$F$17</f>
        <v>1781.9757755724</v>
      </c>
      <c r="V54" s="38">
        <f>$F$53*(1.3+0.29/((VLOOKUP($F$52,$AA$20:$AI$28,9,0))/VLOOKUP($F$52,$AA$20:$AI$28,8,0)))+(1.3+0.29/((VLOOKUP($F$50,$AA$11:$AH$17,7,0))/VLOOKUP($F$50,$AA$11:$AH$17,8,0)))*$F$58</f>
        <v>19661.283673328126</v>
      </c>
      <c r="W54" s="38">
        <f>$F$53*(VLOOKUP($F$52,$AA$20:$AI$28,6,0)*K54)+(VLOOKUP($F$50,$AA$11:$AH$17,3,0)*K54)*$F$58</f>
        <v>13611</v>
      </c>
      <c r="X54" s="38">
        <f>$F$53*(20*I54*(VLOOKUP($F$52,$AA$20:$AI$28,9,0)))+(20*I54*(VLOOKUP($F$50,$AA$10:$AH$17,7,0)/2000))*$F$58</f>
        <v>0</v>
      </c>
      <c r="Y54" s="38">
        <f>0.8*$F$58*H54*100</f>
        <v>0</v>
      </c>
      <c r="Z54" s="64"/>
      <c r="AB54">
        <v>130</v>
      </c>
      <c r="AC54" s="22">
        <f>$AC$62*((VLOOKUP($AC$61,$AA$20:$AI$28,7,0)*VLOOKUP($AC$61,$AA$20:$AI$28,5,0)*AB54*AB54)/(VLOOKUP($AC$61,$AA$20:$AI$28,9,0)/VLOOKUP($AC$61,$AA$20:$AI$28,8,0))/VLOOKUP($AC$61,$AA$20:$AI$28,8,0))+((VLOOKUP($AC$63,$AA$11:$AH$17,4,0)*VLOOKUP($AC$63,$AA$11:$AH$17,5,0)*AB54*AB54)/(((VLOOKUP($AC$63,$AA$11:$AH$17,7,0)/2000))/((VLOOKUP($AC$63,$AA$11:$AH$17,8,0))))/VLOOKUP($AC$63,$AA$11:$AH$17,8,0))*$AF$58</f>
        <v>65171.178010471216</v>
      </c>
      <c r="AD54" s="22">
        <f>$AC$62*(1.3+0.29/((VLOOKUP($AC$61,$AA$20:$AI$28,9,0))/VLOOKUP($AC$61,$AA$20:$AI$28,8,0)))+(1.3+0.29/((VLOOKUP($AC$63,$AA$11:$AH$17,7,0))/VLOOKUP($AC$63,$AA$11:$AH$17,8,0)))*$AF$58</f>
        <v>9586.268339790577</v>
      </c>
      <c r="AE54" s="22">
        <f>$AC$62*(VLOOKUP($AC$61,$AA$20:$AI$28,6,0)*AB54)+(VLOOKUP($AC$63,$AA$11:$AH$17,3,0)*AB54)*$AF$58</f>
        <v>43130.1</v>
      </c>
      <c r="AF54" s="3">
        <f>$AC$62*(20*$AC$58*(VLOOKUP($AC$61,$AA$20:$AI$28,9,0)))+(20*$AC$58*(VLOOKUP($AC$63,$AA$10:$AH$17,7,0)/2000))*$AF$58</f>
        <v>0</v>
      </c>
      <c r="AG54" s="5">
        <f>$AC$62*(0.8*$AD$57*(VLOOKUP($AC$61,$AA$20:$AI$28,9,0))/2000)+(0.8*$AD$57*((VLOOKUP($AC$63,$AA$11:$AH$17,7,0))/2000/2000))*$AF$58</f>
        <v>0</v>
      </c>
      <c r="AH54" s="13">
        <f t="shared" si="9"/>
        <v>117887.54635026178</v>
      </c>
      <c r="AI54" s="23">
        <f t="shared" si="10"/>
        <v>0.5528249592780374</v>
      </c>
      <c r="AJ54" s="23">
        <f t="shared" si="11"/>
        <v>0.08131705711567123</v>
      </c>
      <c r="AK54" s="23">
        <f t="shared" si="12"/>
        <v>0.36585798360629146</v>
      </c>
      <c r="AN54" s="1" t="e">
        <f>(375*$AC$62*(VLOOKUP($AC$61,#REF!,4,0))*0.83)/AB54</f>
        <v>#REF!</v>
      </c>
      <c r="AO54" s="1">
        <f t="shared" si="8"/>
        <v>49757.73060238322</v>
      </c>
    </row>
    <row r="55" spans="5:26" ht="12.75">
      <c r="E55" s="65" t="s">
        <v>137</v>
      </c>
      <c r="F55" s="6">
        <v>0</v>
      </c>
      <c r="G55" s="6">
        <v>0</v>
      </c>
      <c r="H55" s="12">
        <v>0</v>
      </c>
      <c r="I55" s="12">
        <v>0</v>
      </c>
      <c r="J55" s="6">
        <v>0</v>
      </c>
      <c r="K55" s="10">
        <f>$H$9</f>
        <v>20</v>
      </c>
      <c r="L55" s="32">
        <f>IF(O55&lt;=P55,O55/N55*308,P55/N55*308)</f>
        <v>19.999999999999996</v>
      </c>
      <c r="M55" s="68">
        <f>J55/L55</f>
        <v>0</v>
      </c>
      <c r="N55" s="38">
        <f>SUM(U55:Y55)</f>
        <v>35054.25944890053</v>
      </c>
      <c r="O55" s="38">
        <f>N55*K55/308</f>
        <v>2276.250613564969</v>
      </c>
      <c r="P55" s="38">
        <f>$F$53*(VLOOKUP($F$52,$AA$20:$AI$28,4,0))+IF(I55&gt;1.8%,$F$55*(VLOOKUP($F$54,$AA$20:$AI$28,4,0)),0)</f>
        <v>6000</v>
      </c>
      <c r="Q55" s="69">
        <f>$F$12*J55/K55*VLOOKUP($F$11,$AA$20:$AD$28,2,0)*O55/P55+$F$14*J55/K55*VLOOKUP($F$13,$AA$20:$AD$28,2,0)*O55/P55</f>
        <v>0</v>
      </c>
      <c r="R55" s="69">
        <f>IF(O55/P55&gt;1,1,O55/P55)</f>
        <v>0.3793751022608282</v>
      </c>
      <c r="S55" s="38">
        <f>IF(COUNTIF($AL$20:$AN$27,R55),VLOOKUP(R55,$AL$20:$AN$27,3,0)*Q55,Q55*R55)</f>
        <v>0</v>
      </c>
      <c r="T55" s="70">
        <f>S55*$F$7</f>
        <v>0</v>
      </c>
      <c r="U55" s="38">
        <f>$F$12*((VLOOKUP($F$11,$AA$20:$AI$28,7,0)*VLOOKUP($F$11,$AA$20:$AI$28,5,0)*K55*K55)/(VLOOKUP($F$11,$AA$20:$AI$28,9,0)/VLOOKUP($F$11,$AA$20:$AI$28,8,0))/VLOOKUP($F$11,$AA$20:$AI$28,8,0))+((VLOOKUP($F$9,$AA$11:$AH$17,4,0)*VLOOKUP($F$9,$AA$11:$AH$17,5,0)*K55*K55)/(((VLOOKUP($F$9,$AA$11:$AH$17,7,0)/2000))/((VLOOKUP($F$9,$AA$11:$AH$17,8,0))))/VLOOKUP($F$9,$AA$11:$AH$17,8,0))*$F$17</f>
        <v>1781.9757755724</v>
      </c>
      <c r="V55" s="38">
        <f>$F$53*(1.3+0.29/((VLOOKUP($F$52,$AA$20:$AI$28,9,0))/VLOOKUP($F$52,$AA$20:$AI$28,8,0)))+(1.3+0.29/((VLOOKUP($F$50,$AA$11:$AH$17,7,0))/VLOOKUP($F$50,$AA$11:$AH$17,8,0)))*$F$58</f>
        <v>19661.283673328126</v>
      </c>
      <c r="W55" s="38">
        <f>$F$53*(VLOOKUP($F$52,$AA$20:$AI$28,6,0)*K55)+(VLOOKUP($F$50,$AA$11:$AH$17,3,0)*K55)*$F$58</f>
        <v>13611</v>
      </c>
      <c r="X55" s="38">
        <f>$F$53*(20*I55*(VLOOKUP($F$52,$AA$20:$AI$28,9,0)))+(20*I55*(VLOOKUP($F$50,$AA$10:$AH$17,7,0)/2000))*$F$58</f>
        <v>0</v>
      </c>
      <c r="Y55" s="38">
        <f>0.8*$F$58*H55*100</f>
        <v>0</v>
      </c>
      <c r="Z55" s="64"/>
    </row>
    <row r="56" spans="5:26" ht="12.75">
      <c r="E56" s="65" t="s">
        <v>141</v>
      </c>
      <c r="F56" s="5">
        <f>VLOOKUP(F50,$AA$11:$AH$17,7,0)</f>
        <v>268000</v>
      </c>
      <c r="G56" s="5">
        <f>VLOOKUP(F50,$AA$11:$AH$17,6,0)</f>
        <v>67000</v>
      </c>
      <c r="H56" s="12">
        <v>0</v>
      </c>
      <c r="I56" s="12">
        <v>0</v>
      </c>
      <c r="J56" s="6">
        <v>0</v>
      </c>
      <c r="K56" s="10">
        <f>$H$9</f>
        <v>20</v>
      </c>
      <c r="L56" s="52">
        <f>IF(O56&lt;=P56,O56/N56*308,P56/N56*308)</f>
        <v>19.999999999999996</v>
      </c>
      <c r="M56" s="68">
        <f>J56/L56</f>
        <v>0</v>
      </c>
      <c r="N56" s="38">
        <f>SUM(U56:Y56)</f>
        <v>35054.25944890053</v>
      </c>
      <c r="O56" s="38">
        <f>N56*K56/308</f>
        <v>2276.250613564969</v>
      </c>
      <c r="P56" s="38">
        <f>$F$53*(VLOOKUP($F$52,$AA$20:$AI$28,4,0))+IF(I56&gt;1.8%,$F$55*(VLOOKUP($F$54,$AA$20:$AI$28,4,0)),0)</f>
        <v>6000</v>
      </c>
      <c r="Q56" s="69">
        <f>$F$12*J56/K56*VLOOKUP($F$11,$AA$20:$AD$28,2,0)*O56/P56+$F$14*J56/K56*VLOOKUP($F$13,$AA$20:$AD$28,2,0)*O56/P56</f>
        <v>0</v>
      </c>
      <c r="R56" s="69">
        <f>IF(O56/P56&gt;1,1,O56/P56)</f>
        <v>0.3793751022608282</v>
      </c>
      <c r="S56" s="38">
        <f>IF(COUNTIF($AL$20:$AN$27,R56),VLOOKUP(R56,$AL$20:$AN$27,3,0)*Q56,Q56*R56)</f>
        <v>0</v>
      </c>
      <c r="T56" s="70">
        <f>S56*$F$7</f>
        <v>0</v>
      </c>
      <c r="U56" s="38">
        <f>$F$12*((VLOOKUP($F$11,$AA$20:$AI$28,7,0)*VLOOKUP($F$11,$AA$20:$AI$28,5,0)*K56*K56)/(VLOOKUP($F$11,$AA$20:$AI$28,9,0)/VLOOKUP($F$11,$AA$20:$AI$28,8,0))/VLOOKUP($F$11,$AA$20:$AI$28,8,0))+((VLOOKUP($F$9,$AA$11:$AH$17,4,0)*VLOOKUP($F$9,$AA$11:$AH$17,5,0)*K56*K56)/(((VLOOKUP($F$9,$AA$11:$AH$17,7,0)/2000))/((VLOOKUP($F$9,$AA$11:$AH$17,8,0))))/VLOOKUP($F$9,$AA$11:$AH$17,8,0))*$F$17</f>
        <v>1781.9757755724</v>
      </c>
      <c r="V56" s="38">
        <f>$F$53*(1.3+0.29/((VLOOKUP($F$52,$AA$20:$AI$28,9,0))/VLOOKUP($F$52,$AA$20:$AI$28,8,0)))+(1.3+0.29/((VLOOKUP($F$50,$AA$11:$AH$17,7,0))/VLOOKUP($F$50,$AA$11:$AH$17,8,0)))*$F$58</f>
        <v>19661.283673328126</v>
      </c>
      <c r="W56" s="38">
        <f>$F$53*(VLOOKUP($F$52,$AA$20:$AI$28,6,0)*K56)+(VLOOKUP($F$50,$AA$11:$AH$17,3,0)*K56)*$F$58</f>
        <v>13611</v>
      </c>
      <c r="X56" s="38">
        <f>$F$53*(20*I56*(VLOOKUP($F$52,$AA$20:$AI$28,9,0)))+(20*I56*(VLOOKUP($F$50,$AA$10:$AH$17,7,0)/2000))*$F$58</f>
        <v>0</v>
      </c>
      <c r="Y56" s="38">
        <f>0.8*$F$58*H56*100</f>
        <v>0</v>
      </c>
      <c r="Z56" s="64"/>
    </row>
    <row r="57" spans="5:35" ht="38.25">
      <c r="E57" s="65" t="s">
        <v>140</v>
      </c>
      <c r="F57" s="5">
        <f>F51*F56+F53*2000*VLOOKUP(F52,$AA$20:$AI$28,9,0)+F55*2000*VLOOKUP(F54,$AA$20:$AI$28,9,0)</f>
        <v>30244000</v>
      </c>
      <c r="G57" s="5">
        <f>G51*G56+G53*2000*VLOOKUP(G52,$AA$20:$AI$28,9,0)+G55*2000*VLOOKUP(G54,$AA$20:$AI$28,9,0)</f>
        <v>8134000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64"/>
      <c r="AC57" t="s">
        <v>29</v>
      </c>
      <c r="AD57" s="6">
        <v>0</v>
      </c>
      <c r="AE57" t="s">
        <v>42</v>
      </c>
      <c r="AF57" t="s">
        <v>55</v>
      </c>
      <c r="AH57" s="35" t="s">
        <v>60</v>
      </c>
      <c r="AI57" s="35"/>
    </row>
    <row r="58" spans="5:34" ht="12.75">
      <c r="E58" s="65" t="s">
        <v>142</v>
      </c>
      <c r="F58" s="5">
        <f>F57/2000</f>
        <v>15122</v>
      </c>
      <c r="G58" s="5">
        <f>G57/2000</f>
        <v>4067</v>
      </c>
      <c r="H58" s="10"/>
      <c r="I58" s="71" t="s">
        <v>144</v>
      </c>
      <c r="J58" s="71">
        <f>SUM(J52:J56)</f>
        <v>533</v>
      </c>
      <c r="K58" s="71"/>
      <c r="L58" s="71"/>
      <c r="M58" s="72">
        <f>SUM(M52:M56)</f>
        <v>26.649999999999995</v>
      </c>
      <c r="N58" s="71"/>
      <c r="O58" s="71"/>
      <c r="P58" s="71"/>
      <c r="Q58" s="73">
        <f>SUM(Q52:Q56)</f>
        <v>25447.32227281321</v>
      </c>
      <c r="R58" s="73"/>
      <c r="S58" s="73"/>
      <c r="T58" s="74">
        <f>SUM(T52:T56)</f>
        <v>26564.114197120707</v>
      </c>
      <c r="U58" s="10"/>
      <c r="V58" s="10"/>
      <c r="W58" s="10"/>
      <c r="X58" s="10"/>
      <c r="Y58" s="10"/>
      <c r="Z58" s="64"/>
      <c r="AB58" s="7" t="s">
        <v>71</v>
      </c>
      <c r="AC58" s="12">
        <v>0</v>
      </c>
      <c r="AD58" t="s">
        <v>43</v>
      </c>
      <c r="AE58" t="s">
        <v>56</v>
      </c>
      <c r="AF58" s="3">
        <f>AC65*VLOOKUP(AC63,AA11:AH17,7,0)/2000</f>
        <v>7370</v>
      </c>
      <c r="AG58" s="35"/>
      <c r="AH58" s="35"/>
    </row>
    <row r="59" spans="5:34" ht="33.75">
      <c r="E59" s="65" t="s">
        <v>158</v>
      </c>
      <c r="F59" s="37">
        <f>G58/F58</f>
        <v>0.2689459066261077</v>
      </c>
      <c r="G59" s="10"/>
      <c r="H59" s="66" t="s">
        <v>148</v>
      </c>
      <c r="I59" s="66" t="s">
        <v>149</v>
      </c>
      <c r="J59" s="9" t="s">
        <v>64</v>
      </c>
      <c r="K59" s="67" t="s">
        <v>73</v>
      </c>
      <c r="L59" s="67" t="s">
        <v>72</v>
      </c>
      <c r="M59" s="9" t="s">
        <v>145</v>
      </c>
      <c r="N59" s="66" t="s">
        <v>153</v>
      </c>
      <c r="O59" s="9" t="s">
        <v>65</v>
      </c>
      <c r="P59" s="9" t="s">
        <v>66</v>
      </c>
      <c r="Q59" s="9" t="s">
        <v>68</v>
      </c>
      <c r="R59" s="9"/>
      <c r="S59" s="114" t="s">
        <v>215</v>
      </c>
      <c r="T59" s="9" t="s">
        <v>94</v>
      </c>
      <c r="U59" s="66" t="s">
        <v>162</v>
      </c>
      <c r="V59" s="66" t="s">
        <v>168</v>
      </c>
      <c r="W59" s="66" t="s">
        <v>172</v>
      </c>
      <c r="X59" s="66" t="s">
        <v>149</v>
      </c>
      <c r="Y59" s="54" t="s">
        <v>170</v>
      </c>
      <c r="Z59" s="64"/>
      <c r="AB59" t="s">
        <v>9</v>
      </c>
      <c r="AC59" s="6">
        <v>24</v>
      </c>
      <c r="AD59" t="s">
        <v>44</v>
      </c>
      <c r="AE59" s="7" t="s">
        <v>6</v>
      </c>
      <c r="AF59" s="5">
        <f>SUM(AF61:AF65)</f>
        <v>20449.431900000003</v>
      </c>
      <c r="AG59" s="5" t="e">
        <f>375*$AC$62*(VLOOKUP($AC$61,#REF!,4,0))*0.83/$AC$59</f>
        <v>#REF!</v>
      </c>
      <c r="AH59" t="e">
        <f>IF(AG59&lt;AF59,"The resistance of the train exceeds the available Tractive Effort. Add more locomotives or reduce speed.",0)</f>
        <v>#REF!</v>
      </c>
    </row>
    <row r="60" spans="5:33" ht="12.75">
      <c r="E60" s="65"/>
      <c r="F60" s="10"/>
      <c r="G60" s="10"/>
      <c r="H60" s="12">
        <v>0.01</v>
      </c>
      <c r="I60" s="12">
        <v>0.002</v>
      </c>
      <c r="J60" s="6">
        <v>533</v>
      </c>
      <c r="K60" s="10">
        <v>20</v>
      </c>
      <c r="L60" s="31">
        <f>IF(O60&lt;=P60,O60/N60*308,P60/N60*308)</f>
        <v>20.000000000000004</v>
      </c>
      <c r="M60" s="68">
        <f>J60/L60</f>
        <v>26.649999999999995</v>
      </c>
      <c r="N60" s="38">
        <f>SUM(U60:Y60)</f>
        <v>35684.96980785575</v>
      </c>
      <c r="O60" s="38">
        <f>N60*K60/308</f>
        <v>2317.205831678945</v>
      </c>
      <c r="P60" s="38">
        <f>$G$53*(VLOOKUP($G$52,$AA$20:$AI$28,4,0))+IF(I60&gt;1.8%,$G$55*(VLOOKUP($G$54,$AA$20:$AI$28,4,0)),0)</f>
        <v>6000</v>
      </c>
      <c r="Q60" s="69">
        <f>$F$12*J60/K60*VLOOKUP($F$11,$AA$20:$AD$28,2,0)*O60/P60+$F$14*J60/K60*VLOOKUP($F$13,$AA$20:$AD$28,2,0)*O60/P60</f>
        <v>10356.067888968697</v>
      </c>
      <c r="R60" s="69">
        <f>IF(O60/P60&gt;1,1,O60/P60)</f>
        <v>0.3862009719464908</v>
      </c>
      <c r="S60" s="38">
        <f>IF(COUNTIF($AL$20:$AN$27,R60),VLOOKUP(R60,$AL$20:$AN$27,3,0)*Q60,Q60*R60)</f>
        <v>3999.5234842635537</v>
      </c>
      <c r="T60" s="70">
        <f>S60*$F$7</f>
        <v>4399.475832689909</v>
      </c>
      <c r="U60" s="38">
        <f>$F$12*((VLOOKUP($F$11,$AA$20:$AI$28,7,0)*VLOOKUP($F$11,$AA$20:$AI$28,5,0)*K60*K60)/(VLOOKUP($F$11,$AA$20:$AI$28,9,0)/VLOOKUP($F$11,$AA$20:$AI$28,8,0))/VLOOKUP($F$11,$AA$20:$AI$28,8,0))+((VLOOKUP($F$9,$AA$11:$AH$17,4,0)*VLOOKUP($F$9,$AA$11:$AH$17,5,0)*K60*K60)/(((VLOOKUP($F$9,$AA$11:$AH$17,7,0)/2000))/((VLOOKUP($F$9,$AA$11:$AH$17,8,0))))/VLOOKUP($F$9,$AA$11:$AH$17,8,0))*$G$58</f>
        <v>852.3339845276238</v>
      </c>
      <c r="V60" s="38">
        <f>$F$53*(1.3+0.29/((VLOOKUP($F$52,$AA$20:$AI$28,9,0))/VLOOKUP($F$52,$AA$20:$AI$28,8,0)))+(1.3+0.29/((VLOOKUP($F$50,$AA$11:$AH$17,7,0))/VLOOKUP($F$50,$AA$11:$AH$17,8,0)))*$G$58</f>
        <v>5289.735823328125</v>
      </c>
      <c r="W60" s="38">
        <f>$F$53*(VLOOKUP($F$52,$AA$20:$AI$28,6,0)*K60)+(VLOOKUP($F$50,$AA$11:$AH$17,3,0)*K60)*$G$58</f>
        <v>3661.4999999999995</v>
      </c>
      <c r="X60" s="38">
        <f>$F$53*(20*I60*(VLOOKUP($F$52,$AA$20:$AI$28,9,0)))+(20*I60*(VLOOKUP($F$50,$AA$10:$AH$17,7,0)/2000))*$G$58</f>
        <v>21814.4</v>
      </c>
      <c r="Y60" s="38">
        <f>$G$58*H60*100</f>
        <v>4067</v>
      </c>
      <c r="Z60" s="64"/>
      <c r="AC60" s="6"/>
      <c r="AE60" s="7"/>
      <c r="AF60" s="5"/>
      <c r="AG60" s="5"/>
    </row>
    <row r="61" spans="5:35" ht="12.75">
      <c r="E61" s="65"/>
      <c r="F61" s="10"/>
      <c r="G61" s="10"/>
      <c r="H61" s="12"/>
      <c r="I61" s="12"/>
      <c r="J61" s="6">
        <v>0</v>
      </c>
      <c r="K61" s="10">
        <v>20</v>
      </c>
      <c r="L61" s="32">
        <f>IF(O61&lt;=P61,O61/N61*308,P61/N61*308)</f>
        <v>20.000000000000004</v>
      </c>
      <c r="M61" s="68">
        <f>J61/L61</f>
        <v>0</v>
      </c>
      <c r="N61" s="38">
        <f>SUM(U61:Y61)</f>
        <v>9803.569807855749</v>
      </c>
      <c r="O61" s="38">
        <f>N61*K61/308</f>
        <v>636.5954420685551</v>
      </c>
      <c r="P61" s="38">
        <f>$G$53*(VLOOKUP($G$52,$AA$20:$AI$28,4,0))+IF(I61&gt;1.8%,$G$55*(VLOOKUP($G$54,$AA$20:$AI$28,4,0)),0)</f>
        <v>6000</v>
      </c>
      <c r="Q61" s="69">
        <f>$F$12*J61/K61*VLOOKUP($F$11,$AA$20:$AD$28,2,0)*O61/P61+$F$14*J61/K61*VLOOKUP($F$13,$AA$20:$AD$28,2,0)*O61/P61</f>
        <v>0</v>
      </c>
      <c r="R61" s="69">
        <f>IF(O61/P61&gt;1,1,O61/P61)</f>
        <v>0.10609924034475919</v>
      </c>
      <c r="S61" s="38">
        <f>IF(COUNTIF($AL$20:$AN$27,R61),VLOOKUP(R61,$AL$20:$AN$27,3,0)*Q61,Q61*R61)</f>
        <v>0</v>
      </c>
      <c r="T61" s="70">
        <f>S61*$F$7</f>
        <v>0</v>
      </c>
      <c r="U61" s="38">
        <f>$F$12*((VLOOKUP($F$11,$AA$20:$AI$28,7,0)*VLOOKUP($F$11,$AA$20:$AI$28,5,0)*K61*K61)/(VLOOKUP($F$11,$AA$20:$AI$28,9,0)/VLOOKUP($F$11,$AA$20:$AI$28,8,0))/VLOOKUP($F$11,$AA$20:$AI$28,8,0))+((VLOOKUP($F$9,$AA$11:$AH$17,4,0)*VLOOKUP($F$9,$AA$11:$AH$17,5,0)*K61*K61)/(((VLOOKUP($F$9,$AA$11:$AH$17,7,0)/2000))/((VLOOKUP($F$9,$AA$11:$AH$17,8,0))))/VLOOKUP($F$9,$AA$11:$AH$17,8,0))*$G$58</f>
        <v>852.3339845276238</v>
      </c>
      <c r="V61" s="38">
        <f>$F$53*(1.3+0.29/((VLOOKUP($F$52,$AA$20:$AI$28,9,0))/VLOOKUP($F$52,$AA$20:$AI$28,8,0)))+(1.3+0.29/((VLOOKUP($F$50,$AA$11:$AH$17,7,0))/VLOOKUP($F$50,$AA$11:$AH$17,8,0)))*$G$58</f>
        <v>5289.735823328125</v>
      </c>
      <c r="W61" s="38">
        <f>$F$53*(VLOOKUP($F$52,$AA$20:$AI$28,6,0)*K61)+(VLOOKUP($F$50,$AA$11:$AH$17,3,0)*K61)*$G$58</f>
        <v>3661.4999999999995</v>
      </c>
      <c r="X61" s="38">
        <f>$F$53*(20*I61*(VLOOKUP($F$52,$AA$20:$AI$28,9,0)))+(20*I61*(VLOOKUP($F$50,$AA$10:$AH$17,7,0)/2000))*$G$58</f>
        <v>0</v>
      </c>
      <c r="Y61" s="38">
        <f>$G$58*H61*100</f>
        <v>0</v>
      </c>
      <c r="Z61" s="64"/>
      <c r="AB61" t="s">
        <v>39</v>
      </c>
      <c r="AC61" s="6" t="s">
        <v>16</v>
      </c>
      <c r="AD61" t="s">
        <v>45</v>
      </c>
      <c r="AE61" t="s">
        <v>57</v>
      </c>
      <c r="AF61" s="5">
        <f>AE71*AF58+(VLOOKUP(AC61,AA20:AI28,9,0)*AC62*AC71)</f>
        <v>2908.8</v>
      </c>
      <c r="AG61" s="24">
        <f>AF61/$AF$59</f>
        <v>0.14224356032110602</v>
      </c>
      <c r="AH61" s="5">
        <f>$AF$59*$AC$59/308</f>
        <v>1593.4622259740263</v>
      </c>
      <c r="AI61" t="s">
        <v>62</v>
      </c>
    </row>
    <row r="62" spans="5:35" ht="15.75">
      <c r="E62" s="65"/>
      <c r="F62" s="10"/>
      <c r="G62" s="10"/>
      <c r="H62" s="12"/>
      <c r="I62" s="12"/>
      <c r="J62" s="6">
        <v>0</v>
      </c>
      <c r="K62" s="10">
        <f>$H$9</f>
        <v>20</v>
      </c>
      <c r="L62" s="32">
        <f>IF(O62&lt;=P62,O62/N62*308,P62/N62*308)</f>
        <v>20.000000000000004</v>
      </c>
      <c r="M62" s="68">
        <f>J62/L62</f>
        <v>0</v>
      </c>
      <c r="N62" s="38">
        <f>SUM(U62:Y62)</f>
        <v>9803.569807855749</v>
      </c>
      <c r="O62" s="38">
        <f>N62*K62/308</f>
        <v>636.5954420685551</v>
      </c>
      <c r="P62" s="38">
        <f>$G$53*(VLOOKUP($G$52,$AA$20:$AI$28,4,0))+IF(I62&gt;1.8%,$G$55*(VLOOKUP($G$54,$AA$20:$AI$28,4,0)),0)</f>
        <v>6000</v>
      </c>
      <c r="Q62" s="69">
        <f>$F$12*J62/K62*VLOOKUP($F$11,$AA$20:$AD$28,2,0)*O62/P62+$F$14*J62/K62*VLOOKUP($F$13,$AA$20:$AD$28,2,0)*O62/P62</f>
        <v>0</v>
      </c>
      <c r="R62" s="69">
        <f>IF(O62/P62&gt;1,1,O62/P62)</f>
        <v>0.10609924034475919</v>
      </c>
      <c r="S62" s="38">
        <f>IF(COUNTIF($AL$20:$AN$27,R62),VLOOKUP(R62,$AL$20:$AN$27,3,0)*Q62,Q62*R62)</f>
        <v>0</v>
      </c>
      <c r="T62" s="70">
        <f>S62*$F$7</f>
        <v>0</v>
      </c>
      <c r="U62" s="38">
        <f>$F$12*((VLOOKUP($F$11,$AA$20:$AI$28,7,0)*VLOOKUP($F$11,$AA$20:$AI$28,5,0)*K62*K62)/(VLOOKUP($F$11,$AA$20:$AI$28,9,0)/VLOOKUP($F$11,$AA$20:$AI$28,8,0))/VLOOKUP($F$11,$AA$20:$AI$28,8,0))+((VLOOKUP($F$9,$AA$11:$AH$17,4,0)*VLOOKUP($F$9,$AA$11:$AH$17,5,0)*K62*K62)/(((VLOOKUP($F$9,$AA$11:$AH$17,7,0)/2000))/((VLOOKUP($F$9,$AA$11:$AH$17,8,0))))/VLOOKUP($F$9,$AA$11:$AH$17,8,0))*$G$58</f>
        <v>852.3339845276238</v>
      </c>
      <c r="V62" s="38">
        <f>$F$53*(1.3+0.29/((VLOOKUP($F$52,$AA$20:$AI$28,9,0))/VLOOKUP($F$52,$AA$20:$AI$28,8,0)))+(1.3+0.29/((VLOOKUP($F$50,$AA$11:$AH$17,7,0))/VLOOKUP($F$50,$AA$11:$AH$17,8,0)))*$G$58</f>
        <v>5289.735823328125</v>
      </c>
      <c r="W62" s="38">
        <f>$F$53*(VLOOKUP($F$52,$AA$20:$AI$28,6,0)*K62)+(VLOOKUP($F$50,$AA$11:$AH$17,3,0)*K62)*$G$58</f>
        <v>3661.4999999999995</v>
      </c>
      <c r="X62" s="38">
        <f>$F$53*(20*I62*(VLOOKUP($F$52,$AA$20:$AI$28,9,0)))+(20*I62*(VLOOKUP($F$50,$AA$10:$AH$17,7,0)/2000))*$G$58</f>
        <v>0</v>
      </c>
      <c r="Y62" s="38">
        <f>$G$58*H62*100</f>
        <v>0</v>
      </c>
      <c r="Z62" s="64"/>
      <c r="AB62" t="s">
        <v>41</v>
      </c>
      <c r="AC62" s="30">
        <v>4</v>
      </c>
      <c r="AE62" t="s">
        <v>58</v>
      </c>
      <c r="AF62" s="5">
        <f>AF58*AE72</f>
        <v>9581.0319</v>
      </c>
      <c r="AG62" s="24">
        <f>AF62/$AF$59</f>
        <v>0.46852313290913467</v>
      </c>
      <c r="AH62" s="27">
        <f>ROUNDUP(AH61/VLOOKUP(AC61,AA20:AI28,4,0),0)</f>
        <v>1</v>
      </c>
      <c r="AI62" t="s">
        <v>63</v>
      </c>
    </row>
    <row r="63" spans="5:33" ht="12.75">
      <c r="E63" s="65"/>
      <c r="F63" s="10"/>
      <c r="G63" s="10"/>
      <c r="H63" s="12"/>
      <c r="I63" s="12"/>
      <c r="J63" s="6">
        <v>0</v>
      </c>
      <c r="K63" s="10">
        <f>$H$9</f>
        <v>20</v>
      </c>
      <c r="L63" s="32">
        <f>IF(O63&lt;=P63,O63/N63*308,P63/N63*308)</f>
        <v>20.000000000000004</v>
      </c>
      <c r="M63" s="68">
        <f>J63/L63</f>
        <v>0</v>
      </c>
      <c r="N63" s="38">
        <f>SUM(U63:Y63)</f>
        <v>9803.569807855749</v>
      </c>
      <c r="O63" s="38">
        <f>N63*K63/308</f>
        <v>636.5954420685551</v>
      </c>
      <c r="P63" s="38">
        <f>$G$53*(VLOOKUP($G$52,$AA$20:$AI$28,4,0))+IF(I63&gt;1.8%,$G$55*(VLOOKUP($G$54,$AA$20:$AI$28,4,0)),0)</f>
        <v>6000</v>
      </c>
      <c r="Q63" s="69">
        <f>$F$12*J63/K63*VLOOKUP($F$11,$AA$20:$AD$28,2,0)*O63/P63+$F$14*J63/K63*VLOOKUP($F$13,$AA$20:$AD$28,2,0)*O63/P63</f>
        <v>0</v>
      </c>
      <c r="R63" s="69">
        <f>IF(O63/P63&gt;1,1,O63/P63)</f>
        <v>0.10609924034475919</v>
      </c>
      <c r="S63" s="38">
        <f>IF(COUNTIF($AL$20:$AN$27,R63),VLOOKUP(R63,$AL$20:$AN$27,3,0)*Q63,Q63*R63)</f>
        <v>0</v>
      </c>
      <c r="T63" s="70">
        <f>S63*$F$7</f>
        <v>0</v>
      </c>
      <c r="U63" s="38">
        <f>$F$12*((VLOOKUP($F$11,$AA$20:$AI$28,7,0)*VLOOKUP($F$11,$AA$20:$AI$28,5,0)*K63*K63)/(VLOOKUP($F$11,$AA$20:$AI$28,9,0)/VLOOKUP($F$11,$AA$20:$AI$28,8,0))/VLOOKUP($F$11,$AA$20:$AI$28,8,0))+((VLOOKUP($F$9,$AA$11:$AH$17,4,0)*VLOOKUP($F$9,$AA$11:$AH$17,5,0)*K63*K63)/(((VLOOKUP($F$9,$AA$11:$AH$17,7,0)/2000))/((VLOOKUP($F$9,$AA$11:$AH$17,8,0))))/VLOOKUP($F$9,$AA$11:$AH$17,8,0))*$G$58</f>
        <v>852.3339845276238</v>
      </c>
      <c r="V63" s="38">
        <f>$F$53*(1.3+0.29/((VLOOKUP($F$52,$AA$20:$AI$28,9,0))/VLOOKUP($F$52,$AA$20:$AI$28,8,0)))+(1.3+0.29/((VLOOKUP($F$50,$AA$11:$AH$17,7,0))/VLOOKUP($F$50,$AA$11:$AH$17,8,0)))*$G$58</f>
        <v>5289.735823328125</v>
      </c>
      <c r="W63" s="38">
        <f>$F$53*(VLOOKUP($F$52,$AA$20:$AI$28,6,0)*K63)+(VLOOKUP($F$50,$AA$11:$AH$17,3,0)*K63)*$G$58</f>
        <v>3661.4999999999995</v>
      </c>
      <c r="X63" s="38">
        <f>$F$53*(20*I63*(VLOOKUP($F$52,$AA$20:$AI$28,9,0)))+(20*I63*(VLOOKUP($F$50,$AA$10:$AH$17,7,0)/2000))*$G$58</f>
        <v>0</v>
      </c>
      <c r="Y63" s="38">
        <f>$G$58*H63*100</f>
        <v>0</v>
      </c>
      <c r="Z63" s="64"/>
      <c r="AB63" t="s">
        <v>30</v>
      </c>
      <c r="AC63" s="6" t="s">
        <v>12</v>
      </c>
      <c r="AE63" t="s">
        <v>59</v>
      </c>
      <c r="AF63" s="5">
        <f>AF58*AE73</f>
        <v>7959.6</v>
      </c>
      <c r="AG63" s="24">
        <f>AF63/$AF$59</f>
        <v>0.38923330676975915</v>
      </c>
    </row>
    <row r="64" spans="5:33" ht="12.75">
      <c r="E64" s="65"/>
      <c r="F64" s="10"/>
      <c r="G64" s="10"/>
      <c r="H64" s="12"/>
      <c r="I64" s="12"/>
      <c r="J64" s="6">
        <v>0</v>
      </c>
      <c r="K64" s="10">
        <f>$H$9</f>
        <v>20</v>
      </c>
      <c r="L64" s="52">
        <f>IF(O64&lt;=P64,O64/N64*308,P64/N64*308)</f>
        <v>20.000000000000004</v>
      </c>
      <c r="M64" s="68">
        <f>J64/L64</f>
        <v>0</v>
      </c>
      <c r="N64" s="38">
        <f>SUM(U64:Y64)</f>
        <v>9803.569807855749</v>
      </c>
      <c r="O64" s="38">
        <f>N64*K64/308</f>
        <v>636.5954420685551</v>
      </c>
      <c r="P64" s="38">
        <f>$G$53*(VLOOKUP($G$52,$AA$20:$AI$28,4,0))+IF(I64&gt;1.8%,$G$55*(VLOOKUP($G$54,$AA$20:$AI$28,4,0)),0)</f>
        <v>6000</v>
      </c>
      <c r="Q64" s="69">
        <f>$F$12*J64/K64*VLOOKUP($F$11,$AA$20:$AD$28,2,0)*O64/P64+$F$14*J64/K64*VLOOKUP($F$13,$AA$20:$AD$28,2,0)*O64/P64</f>
        <v>0</v>
      </c>
      <c r="R64" s="69">
        <f>IF(O64/P64&gt;1,1,O64/P64)</f>
        <v>0.10609924034475919</v>
      </c>
      <c r="S64" s="38">
        <f>IF(COUNTIF($AL$20:$AN$27,R64),VLOOKUP(R64,$AL$20:$AN$27,3,0)*Q64,Q64*R64)</f>
        <v>0</v>
      </c>
      <c r="T64" s="70">
        <f>S64*$F$7</f>
        <v>0</v>
      </c>
      <c r="U64" s="38">
        <f>$F$12*((VLOOKUP($F$11,$AA$20:$AI$28,7,0)*VLOOKUP($F$11,$AA$20:$AI$28,5,0)*K64*K64)/(VLOOKUP($F$11,$AA$20:$AI$28,9,0)/VLOOKUP($F$11,$AA$20:$AI$28,8,0))/VLOOKUP($F$11,$AA$20:$AI$28,8,0))+((VLOOKUP($F$9,$AA$11:$AH$17,4,0)*VLOOKUP($F$9,$AA$11:$AH$17,5,0)*K64*K64)/(((VLOOKUP($F$9,$AA$11:$AH$17,7,0)/2000))/((VLOOKUP($F$9,$AA$11:$AH$17,8,0))))/VLOOKUP($F$9,$AA$11:$AH$17,8,0))*$G$58</f>
        <v>852.3339845276238</v>
      </c>
      <c r="V64" s="38">
        <f>$F$53*(1.3+0.29/((VLOOKUP($F$52,$AA$20:$AI$28,9,0))/VLOOKUP($F$52,$AA$20:$AI$28,8,0)))+(1.3+0.29/((VLOOKUP($F$50,$AA$11:$AH$17,7,0))/VLOOKUP($F$50,$AA$11:$AH$17,8,0)))*$G$58</f>
        <v>5289.735823328125</v>
      </c>
      <c r="W64" s="38">
        <f>$F$53*(VLOOKUP($F$52,$AA$20:$AI$28,6,0)*K64)+(VLOOKUP($F$50,$AA$11:$AH$17,3,0)*K64)*$G$58</f>
        <v>3661.4999999999995</v>
      </c>
      <c r="X64" s="38">
        <f>$F$53*(20*I64*(VLOOKUP($F$52,$AA$20:$AI$28,9,0)))+(20*I64*(VLOOKUP($F$50,$AA$10:$AH$17,7,0)/2000))*$G$58</f>
        <v>0</v>
      </c>
      <c r="Y64" s="38">
        <f>$G$58*H64*100</f>
        <v>0</v>
      </c>
      <c r="Z64" s="64"/>
      <c r="AC64" s="6" t="s">
        <v>47</v>
      </c>
      <c r="AE64" t="s">
        <v>8</v>
      </c>
      <c r="AF64" s="5">
        <f>$AF$58*AE74+AC74*AC62</f>
        <v>0</v>
      </c>
      <c r="AG64" s="24">
        <f>AF64/$AF$59</f>
        <v>0</v>
      </c>
    </row>
    <row r="65" spans="5:33" ht="12.75">
      <c r="E65" s="6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38"/>
      <c r="W65" s="10"/>
      <c r="X65" s="10"/>
      <c r="Y65" s="10"/>
      <c r="Z65" s="64"/>
      <c r="AB65" t="s">
        <v>40</v>
      </c>
      <c r="AC65" s="6">
        <v>55</v>
      </c>
      <c r="AE65" t="s">
        <v>29</v>
      </c>
      <c r="AF65" s="5">
        <f>$AF$58*AE75</f>
        <v>0</v>
      </c>
      <c r="AG65" s="24">
        <f>AF65/$AF$59</f>
        <v>0</v>
      </c>
    </row>
    <row r="66" spans="5:33" ht="13.5" thickBot="1">
      <c r="E66" s="65"/>
      <c r="F66" s="10"/>
      <c r="G66" s="10"/>
      <c r="H66" s="10"/>
      <c r="I66" s="10"/>
      <c r="J66" s="71">
        <f>SUM(J60:J64)</f>
        <v>533</v>
      </c>
      <c r="K66" s="71"/>
      <c r="L66" s="71"/>
      <c r="M66" s="72">
        <f>SUM(M60:M64)</f>
        <v>26.649999999999995</v>
      </c>
      <c r="N66" s="71"/>
      <c r="O66" s="71"/>
      <c r="P66" s="71"/>
      <c r="Q66" s="73">
        <f>SUM(Q60:Q64)</f>
        <v>10356.067888968697</v>
      </c>
      <c r="R66" s="73"/>
      <c r="S66" s="73"/>
      <c r="T66" s="74">
        <f>SUM(T60:T64)</f>
        <v>4399.475832689909</v>
      </c>
      <c r="U66" s="10"/>
      <c r="V66" s="10"/>
      <c r="W66" s="10"/>
      <c r="X66" s="10"/>
      <c r="Y66" s="10"/>
      <c r="Z66" s="64"/>
      <c r="AB66" s="7" t="s">
        <v>69</v>
      </c>
      <c r="AC66" s="29">
        <v>1.3</v>
      </c>
      <c r="AD66" t="s">
        <v>70</v>
      </c>
      <c r="AG66" s="23"/>
    </row>
    <row r="67" spans="5:26" ht="14.25" thickBot="1" thickTop="1">
      <c r="E67" s="77"/>
      <c r="F67" s="53"/>
      <c r="G67" s="53"/>
      <c r="H67" s="53"/>
      <c r="I67" s="78" t="s">
        <v>159</v>
      </c>
      <c r="J67" s="78"/>
      <c r="K67" s="53"/>
      <c r="L67" s="53"/>
      <c r="M67" s="81">
        <f>M58+M66</f>
        <v>53.29999999999999</v>
      </c>
      <c r="N67" s="79"/>
      <c r="O67" s="79"/>
      <c r="P67" s="79"/>
      <c r="Q67" s="39">
        <f>Q58+Q66</f>
        <v>35803.39016178191</v>
      </c>
      <c r="R67" s="38"/>
      <c r="S67" s="38"/>
      <c r="T67" s="89">
        <f>T58+T66</f>
        <v>30963.590029810617</v>
      </c>
      <c r="U67" s="53"/>
      <c r="V67" s="53"/>
      <c r="W67" s="53"/>
      <c r="X67" s="53"/>
      <c r="Y67" s="53"/>
      <c r="Z67" s="80"/>
    </row>
    <row r="68" ht="13.5" thickTop="1">
      <c r="AC68" s="26"/>
    </row>
    <row r="69" spans="12:31" ht="12.75">
      <c r="L69" t="s">
        <v>178</v>
      </c>
      <c r="AC69" s="25" t="s">
        <v>39</v>
      </c>
      <c r="AE69" t="s">
        <v>54</v>
      </c>
    </row>
    <row r="70" spans="5:31" ht="15.75">
      <c r="E70" s="56" t="s">
        <v>176</v>
      </c>
      <c r="F70" t="s">
        <v>157</v>
      </c>
      <c r="G70" s="40">
        <v>12000000</v>
      </c>
      <c r="H70" t="s">
        <v>91</v>
      </c>
      <c r="I70" t="s">
        <v>92</v>
      </c>
      <c r="J70" s="5">
        <f>G70/L70</f>
        <v>3462.686567164179</v>
      </c>
      <c r="L70" s="5">
        <f>VLOOKUP(F9,AA11:AI17,9,0)</f>
        <v>3465.5172413793102</v>
      </c>
      <c r="AB70" t="s">
        <v>6</v>
      </c>
      <c r="AC70" s="22">
        <f>SUM(AC71:AC75)</f>
        <v>2.933821989528796</v>
      </c>
      <c r="AD70" t="s">
        <v>46</v>
      </c>
      <c r="AE70" s="22">
        <f>SUM(AE71:AE75)</f>
        <v>2.680899850746269</v>
      </c>
    </row>
    <row r="71" spans="6:31" ht="12.75">
      <c r="F71" t="s">
        <v>163</v>
      </c>
      <c r="G71" s="6">
        <v>60</v>
      </c>
      <c r="H71" t="s">
        <v>90</v>
      </c>
      <c r="N71" s="13"/>
      <c r="AB71" t="s">
        <v>38</v>
      </c>
      <c r="AC71" s="22">
        <f>(VLOOKUP($AC$61,$AA$20:$AI$28,7,0)*VLOOKUP($AC$61,$AA$20:$AI$28,5,0)*$AC$59*$AC$59)/(VLOOKUP($AC$61,$AA$20:$AI$28,9,0)/VLOOKUP($AC$61,$AA$20:$AI$28,8,0))/VLOOKUP($AC$61,$AA$20:$AI$28,8,0)</f>
        <v>0.9047120418848168</v>
      </c>
      <c r="AD71" t="s">
        <v>46</v>
      </c>
      <c r="AE71" s="22">
        <f>(VLOOKUP($AC$63,$AA$11:$AH$17,4,0)*VLOOKUP($AC$63,$AA$11:$AH$17,5,0)*$AC$59*$AC$59)/(((VLOOKUP($AC$63,$AA$11:$AH$17,7,0)/2000))/((VLOOKUP($AC$63,$AA$11:$AH$17,8,0))))/VLOOKUP($AC$63,$AA$11:$AH$17,8,0)</f>
        <v>0.3008955223880598</v>
      </c>
    </row>
    <row r="72" spans="7:31" ht="12.75">
      <c r="G72" s="7" t="s">
        <v>220</v>
      </c>
      <c r="H72" s="5">
        <f>365*5/7</f>
        <v>260.7142857142857</v>
      </c>
      <c r="I72" t="s">
        <v>90</v>
      </c>
      <c r="L72" t="s">
        <v>181</v>
      </c>
      <c r="N72" t="s">
        <v>180</v>
      </c>
      <c r="AB72" t="s">
        <v>36</v>
      </c>
      <c r="AC72" s="22">
        <f>1.3+0.29/((VLOOKUP($AC$61,$AA$20:$AI$28,9,0))/VLOOKUP($AC$61,$AA$20:$AI$28,8,0))</f>
        <v>1.3091099476439791</v>
      </c>
      <c r="AD72" t="s">
        <v>46</v>
      </c>
      <c r="AE72" s="22">
        <f>1.3+0.29/((VLOOKUP($AC$63,$AA$11:$AH$17,7,0))/VLOOKUP($AC$63,$AA$11:$AH$17,8,0))</f>
        <v>1.300004328358209</v>
      </c>
    </row>
    <row r="73" spans="3:31" ht="14.25" customHeight="1">
      <c r="C73" t="s">
        <v>189</v>
      </c>
      <c r="E73" s="93"/>
      <c r="G73" s="7" t="s">
        <v>203</v>
      </c>
      <c r="H73" t="s">
        <v>179</v>
      </c>
      <c r="I73" t="s">
        <v>76</v>
      </c>
      <c r="L73" s="6">
        <v>110</v>
      </c>
      <c r="N73" s="6">
        <v>55</v>
      </c>
      <c r="AB73" t="s">
        <v>37</v>
      </c>
      <c r="AC73" s="22">
        <f>(VLOOKUP($AC$61,$AA$20:$AI$28,6,0)*AC59)</f>
        <v>0.72</v>
      </c>
      <c r="AD73" t="s">
        <v>46</v>
      </c>
      <c r="AE73" s="22">
        <f>(VLOOKUP($AC$63,$AA$11:$AH$17,3,0)*$AC$59)</f>
        <v>1.08</v>
      </c>
    </row>
    <row r="74" spans="7:31" ht="12.75">
      <c r="G74" s="41">
        <v>84000</v>
      </c>
      <c r="H74" s="44">
        <f>G74/H72</f>
        <v>322.1917808219178</v>
      </c>
      <c r="I74" s="44">
        <f>H74</f>
        <v>322.1917808219178</v>
      </c>
      <c r="AB74" t="s">
        <v>8</v>
      </c>
      <c r="AC74" s="3">
        <f>20*$AC$58*(VLOOKUP($AC$61,$AA$20:$AI$28,9,0))</f>
        <v>0</v>
      </c>
      <c r="AE74" s="3">
        <f>20*$AC$58*(VLOOKUP($AC$63,$AA$10:$AH$17,7,0)/2000)</f>
        <v>0</v>
      </c>
    </row>
    <row r="75" spans="7:31" ht="12.75">
      <c r="G75" t="s">
        <v>165</v>
      </c>
      <c r="H75" t="s">
        <v>78</v>
      </c>
      <c r="I75" t="s">
        <v>79</v>
      </c>
      <c r="J75" t="s">
        <v>80</v>
      </c>
      <c r="AB75" t="s">
        <v>29</v>
      </c>
      <c r="AC75" s="14">
        <f>0.8*$AD$57*(VLOOKUP($AC$61,$AA$20:$AI$28,9,0))/2000</f>
        <v>0</v>
      </c>
      <c r="AE75" s="14">
        <f>0.8*$AD$57*((VLOOKUP($AC$63,$AA$11:$AH$17,7,0))/2000/2000)</f>
        <v>0</v>
      </c>
    </row>
    <row r="76" spans="5:13" ht="12.75">
      <c r="E76" t="s">
        <v>77</v>
      </c>
      <c r="G76" s="42">
        <f>VLOOKUP(F9,AA11:AJ17,10,0)</f>
        <v>80000</v>
      </c>
      <c r="H76" s="43">
        <v>0.08</v>
      </c>
      <c r="I76" s="45">
        <f>PMT(H76,8,G76,0,1)</f>
        <v>-12889.982266060895</v>
      </c>
      <c r="J76" s="45">
        <f>I76/360</f>
        <v>-35.8055062946136</v>
      </c>
      <c r="L76" s="46"/>
      <c r="M76" s="1">
        <f>(AG12-AF12)/58</f>
        <v>3465.5172413793102</v>
      </c>
    </row>
    <row r="77" ht="12.75">
      <c r="G77" t="s">
        <v>166</v>
      </c>
    </row>
    <row r="78" spans="5:28" ht="12.75">
      <c r="E78" t="s">
        <v>5</v>
      </c>
      <c r="G78" s="42">
        <f>VLOOKUP(AC61,AA20:AJ28,10,0)</f>
        <v>900000</v>
      </c>
      <c r="H78" s="43">
        <v>0.08</v>
      </c>
      <c r="I78" s="45">
        <f>PMT(H78,8,G78,(G78*0.1),1)</f>
        <v>-152846.86387583692</v>
      </c>
      <c r="J78" s="45">
        <f>I78/365</f>
        <v>-418.7585311666765</v>
      </c>
      <c r="K78" t="s">
        <v>88</v>
      </c>
      <c r="AB78" t="s">
        <v>184</v>
      </c>
    </row>
    <row r="79" spans="5:29" ht="12.75">
      <c r="E79" t="s">
        <v>87</v>
      </c>
      <c r="G79" s="42">
        <f>G78</f>
        <v>900000</v>
      </c>
      <c r="H79" s="43">
        <v>0.08</v>
      </c>
      <c r="I79" s="45">
        <f>PMT(H79,8,G79,(G79*0.1),1)</f>
        <v>-152846.86387583692</v>
      </c>
      <c r="J79" s="45">
        <f>I79/365</f>
        <v>-418.7585311666765</v>
      </c>
      <c r="K79" s="45">
        <f>J79/3</f>
        <v>-139.58617705555884</v>
      </c>
      <c r="AB79" t="s">
        <v>185</v>
      </c>
      <c r="AC79" t="s">
        <v>186</v>
      </c>
    </row>
    <row r="80" spans="5:29" ht="51">
      <c r="E80" t="s">
        <v>81</v>
      </c>
      <c r="G80" t="s">
        <v>84</v>
      </c>
      <c r="H80" t="s">
        <v>85</v>
      </c>
      <c r="I80" t="s">
        <v>67</v>
      </c>
      <c r="J80" t="s">
        <v>86</v>
      </c>
      <c r="K80" s="11" t="s">
        <v>173</v>
      </c>
      <c r="L80" s="11" t="s">
        <v>174</v>
      </c>
      <c r="AB80">
        <v>1</v>
      </c>
      <c r="AC80">
        <v>1</v>
      </c>
    </row>
    <row r="81" spans="5:29" ht="12.75">
      <c r="E81" t="s">
        <v>82</v>
      </c>
      <c r="G81" s="6">
        <v>2</v>
      </c>
      <c r="H81" s="3">
        <f>G81*2</f>
        <v>4</v>
      </c>
      <c r="I81" s="28">
        <f>H81*$I$74*2</f>
        <v>2577.5342465753424</v>
      </c>
      <c r="J81">
        <v>2</v>
      </c>
      <c r="K81">
        <v>4</v>
      </c>
      <c r="L81" s="28">
        <f>$I$74/K81*2</f>
        <v>161.0958904109589</v>
      </c>
      <c r="AB81">
        <v>2</v>
      </c>
      <c r="AC81">
        <v>1</v>
      </c>
    </row>
    <row r="82" spans="5:29" ht="12.75">
      <c r="E82" t="s">
        <v>83</v>
      </c>
      <c r="G82" s="6">
        <v>2</v>
      </c>
      <c r="H82" s="3">
        <f>G82*2</f>
        <v>4</v>
      </c>
      <c r="I82" s="28">
        <f>H82*$I$74*2</f>
        <v>2577.5342465753424</v>
      </c>
      <c r="J82">
        <v>2</v>
      </c>
      <c r="K82">
        <v>2</v>
      </c>
      <c r="L82" s="28">
        <f>$I$74/K82*2</f>
        <v>322.1917808219178</v>
      </c>
      <c r="AB82">
        <v>3</v>
      </c>
      <c r="AC82">
        <v>1</v>
      </c>
    </row>
    <row r="83" spans="5:29" ht="12.75">
      <c r="E83" t="s">
        <v>89</v>
      </c>
      <c r="G83" s="91">
        <v>3</v>
      </c>
      <c r="H83" s="92">
        <f>G83*2</f>
        <v>6</v>
      </c>
      <c r="I83" s="28">
        <f>H83*$I$74*2</f>
        <v>3866.301369863014</v>
      </c>
      <c r="J83">
        <v>0</v>
      </c>
      <c r="K83">
        <v>15</v>
      </c>
      <c r="L83" s="28">
        <v>0</v>
      </c>
      <c r="AB83">
        <v>4</v>
      </c>
      <c r="AC83">
        <v>1</v>
      </c>
    </row>
    <row r="84" spans="7:29" ht="12.75">
      <c r="G84" s="26"/>
      <c r="H84" s="26"/>
      <c r="I84" s="28"/>
      <c r="L84" s="28"/>
      <c r="AB84">
        <v>5</v>
      </c>
      <c r="AC84">
        <v>1</v>
      </c>
    </row>
    <row r="85" spans="5:29" ht="12.75">
      <c r="E85" s="93" t="s">
        <v>190</v>
      </c>
      <c r="G85" s="26"/>
      <c r="H85" s="26"/>
      <c r="I85" s="28"/>
      <c r="L85" s="28"/>
      <c r="AB85">
        <v>6</v>
      </c>
      <c r="AC85">
        <v>1</v>
      </c>
    </row>
    <row r="86" spans="5:29" ht="38.25">
      <c r="E86" t="s">
        <v>135</v>
      </c>
      <c r="F86" s="11" t="s">
        <v>183</v>
      </c>
      <c r="G86" t="s">
        <v>64</v>
      </c>
      <c r="H86" s="11" t="s">
        <v>115</v>
      </c>
      <c r="I86" s="11" t="s">
        <v>116</v>
      </c>
      <c r="J86" s="11" t="s">
        <v>199</v>
      </c>
      <c r="K86" s="11" t="s">
        <v>164</v>
      </c>
      <c r="L86" s="11" t="s">
        <v>202</v>
      </c>
      <c r="M86" s="11" t="s">
        <v>93</v>
      </c>
      <c r="P86" s="11"/>
      <c r="AB86">
        <v>7</v>
      </c>
      <c r="AC86" s="19">
        <v>1.024390243902439</v>
      </c>
    </row>
    <row r="87" spans="5:29" ht="12.75">
      <c r="E87" t="s">
        <v>82</v>
      </c>
      <c r="F87" s="4">
        <v>14</v>
      </c>
      <c r="G87" s="6">
        <v>329</v>
      </c>
      <c r="H87" s="55">
        <f>(M26+48+48)/24*VLOOKUP(F87,AB80:AC110,2,0)</f>
        <v>6.476127869705973</v>
      </c>
      <c r="I87" s="5">
        <f>$J$70/$G$71</f>
        <v>57.71144278606965</v>
      </c>
      <c r="J87" s="8">
        <f>I87*H87</f>
        <v>373.74668302780736</v>
      </c>
      <c r="K87" s="5">
        <f>J87/$N$73</f>
        <v>6.795394236869225</v>
      </c>
      <c r="L87" s="5">
        <f>K87*F12</f>
        <v>27.1815769474769</v>
      </c>
      <c r="M87" s="3">
        <f>F14</f>
        <v>2</v>
      </c>
      <c r="U87" s="2"/>
      <c r="AB87">
        <v>8</v>
      </c>
      <c r="AC87" s="19">
        <v>1.048780487804878</v>
      </c>
    </row>
    <row r="88" spans="5:29" ht="12.75">
      <c r="E88" t="s">
        <v>83</v>
      </c>
      <c r="F88" s="4">
        <v>8</v>
      </c>
      <c r="G88" s="6">
        <v>210</v>
      </c>
      <c r="H88" s="55">
        <f>(M47+48+48)/24*VLOOKUP(F88,AB80:AC110,2,0)</f>
        <v>5.15030138379188</v>
      </c>
      <c r="I88" s="5">
        <f>$J$70/$G$71</f>
        <v>57.71144278606965</v>
      </c>
      <c r="J88" s="8">
        <f>I88*H88</f>
        <v>297.2313236417204</v>
      </c>
      <c r="K88" s="5">
        <f>J88/$N$73</f>
        <v>5.404205884394917</v>
      </c>
      <c r="L88" s="5">
        <f>K88*F33</f>
        <v>21.616823537579666</v>
      </c>
      <c r="M88" s="3">
        <f>F35</f>
        <v>2</v>
      </c>
      <c r="AB88">
        <v>9</v>
      </c>
      <c r="AC88" s="19">
        <v>1.073170731707317</v>
      </c>
    </row>
    <row r="89" spans="5:29" ht="12.75">
      <c r="E89" t="s">
        <v>89</v>
      </c>
      <c r="F89" s="4">
        <v>25</v>
      </c>
      <c r="G89" s="6">
        <v>533</v>
      </c>
      <c r="H89" s="55">
        <f>(M67+48+48)/24*VLOOKUP(F89,AB80:AC110,2,0)</f>
        <v>9.103658536585364</v>
      </c>
      <c r="I89" s="5">
        <f>$J$70/$G$71</f>
        <v>57.71144278606965</v>
      </c>
      <c r="J89" s="8">
        <f>I89*H89</f>
        <v>525.3852687780608</v>
      </c>
      <c r="K89" s="5">
        <f>J89/L73</f>
        <v>4.776229716164189</v>
      </c>
      <c r="L89" s="5">
        <f>K89*F53</f>
        <v>9.552459432328378</v>
      </c>
      <c r="M89" s="3">
        <v>0</v>
      </c>
      <c r="U89" s="2"/>
      <c r="AB89">
        <v>10</v>
      </c>
      <c r="AC89" s="19">
        <v>1.097560975609756</v>
      </c>
    </row>
    <row r="90" spans="28:29" ht="12.75">
      <c r="AB90">
        <v>11</v>
      </c>
      <c r="AC90" s="19">
        <v>1.121951219512195</v>
      </c>
    </row>
    <row r="91" spans="28:29" ht="12.75">
      <c r="AB91">
        <v>12</v>
      </c>
      <c r="AC91" s="19">
        <v>1.146341463414634</v>
      </c>
    </row>
    <row r="92" spans="6:29" ht="12.75">
      <c r="F92" t="s">
        <v>200</v>
      </c>
      <c r="G92" t="s">
        <v>123</v>
      </c>
      <c r="H92" t="s">
        <v>124</v>
      </c>
      <c r="J92" t="s">
        <v>125</v>
      </c>
      <c r="AB92">
        <v>13</v>
      </c>
      <c r="AC92" s="19">
        <v>1.170731707317073</v>
      </c>
    </row>
    <row r="93" spans="6:29" ht="12.75">
      <c r="F93" t="s">
        <v>82</v>
      </c>
      <c r="G93" s="42">
        <f>$G$76*J87</f>
        <v>29899734.642224588</v>
      </c>
      <c r="H93" s="42">
        <f>$G$78*L87</f>
        <v>24463419.252729207</v>
      </c>
      <c r="J93" s="47">
        <f>G93+H93</f>
        <v>54363153.894953795</v>
      </c>
      <c r="AB93">
        <v>14</v>
      </c>
      <c r="AC93" s="19">
        <v>1.1951219512195121</v>
      </c>
    </row>
    <row r="94" spans="6:29" ht="12.75">
      <c r="F94" t="s">
        <v>83</v>
      </c>
      <c r="G94" s="42">
        <f>$G$76*J88</f>
        <v>23778505.891337633</v>
      </c>
      <c r="H94" s="42">
        <f>$G$78*L88</f>
        <v>19455141.1838217</v>
      </c>
      <c r="J94" s="47">
        <f>G94+H94</f>
        <v>43233647.07515933</v>
      </c>
      <c r="AB94">
        <v>15</v>
      </c>
      <c r="AC94" s="19">
        <v>1.2195121951219512</v>
      </c>
    </row>
    <row r="95" spans="6:29" ht="12.75">
      <c r="F95" t="s">
        <v>89</v>
      </c>
      <c r="G95" s="42">
        <f>$G$76*J89</f>
        <v>42030821.50224486</v>
      </c>
      <c r="H95" s="42">
        <f>$G$78*L89</f>
        <v>8597213.48909554</v>
      </c>
      <c r="J95" s="47">
        <f>G95+H95</f>
        <v>50628034.9913404</v>
      </c>
      <c r="AB95">
        <v>16</v>
      </c>
      <c r="AC95" s="19">
        <v>1.2439024390243902</v>
      </c>
    </row>
    <row r="96" spans="10:29" ht="12.75">
      <c r="J96" s="94"/>
      <c r="K96" s="94"/>
      <c r="L96" s="26"/>
      <c r="M96" s="95"/>
      <c r="AC96" s="19"/>
    </row>
    <row r="97" spans="5:29" ht="12.75">
      <c r="E97" s="93" t="s">
        <v>191</v>
      </c>
      <c r="AB97">
        <v>17</v>
      </c>
      <c r="AC97" s="19">
        <v>1.268292682926829</v>
      </c>
    </row>
    <row r="98" spans="5:29" ht="38.25">
      <c r="E98" s="11"/>
      <c r="F98" s="11" t="s">
        <v>126</v>
      </c>
      <c r="G98" s="11" t="s">
        <v>205</v>
      </c>
      <c r="H98" s="11" t="s">
        <v>104</v>
      </c>
      <c r="I98" s="11" t="s">
        <v>121</v>
      </c>
      <c r="J98" s="11" t="s">
        <v>134</v>
      </c>
      <c r="K98" s="11" t="s">
        <v>127</v>
      </c>
      <c r="L98" s="11" t="s">
        <v>122</v>
      </c>
      <c r="M98" s="11" t="s">
        <v>109</v>
      </c>
      <c r="N98" s="11" t="s">
        <v>110</v>
      </c>
      <c r="AB98">
        <v>18</v>
      </c>
      <c r="AC98" s="19">
        <v>1.2926829268292683</v>
      </c>
    </row>
    <row r="99" spans="5:29" ht="12.75">
      <c r="E99" t="s">
        <v>82</v>
      </c>
      <c r="F99" s="3">
        <f>G87</f>
        <v>329</v>
      </c>
      <c r="G99" s="3">
        <v>20</v>
      </c>
      <c r="H99" s="3">
        <f>F99-G99</f>
        <v>309</v>
      </c>
      <c r="I99" s="48">
        <f>T26</f>
        <v>5131.346155442945</v>
      </c>
      <c r="J99" s="45">
        <f>T11+T19</f>
        <v>3487.8343095509736</v>
      </c>
      <c r="K99" s="42">
        <f>I99</f>
        <v>5131.346155442945</v>
      </c>
      <c r="L99" s="42">
        <f>K99*K87</f>
        <v>34869.52009207804</v>
      </c>
      <c r="M99" s="24">
        <f>L99/F114</f>
        <v>0.5287643433097232</v>
      </c>
      <c r="N99" s="24">
        <f>L99*60/$I$120</f>
        <v>0.4055064532809354</v>
      </c>
      <c r="AB99">
        <v>19</v>
      </c>
      <c r="AC99" s="19">
        <v>1.3170731707317072</v>
      </c>
    </row>
    <row r="100" spans="5:29" ht="12.75">
      <c r="E100" t="s">
        <v>83</v>
      </c>
      <c r="F100" s="3">
        <f>G88</f>
        <v>210</v>
      </c>
      <c r="G100" s="3">
        <v>20</v>
      </c>
      <c r="H100" s="3">
        <f>F100-G100</f>
        <v>190</v>
      </c>
      <c r="I100" s="48">
        <f>T47</f>
        <v>4535.664547551196</v>
      </c>
      <c r="J100" s="45">
        <f>T32+T40</f>
        <v>2632.9459561206977</v>
      </c>
      <c r="K100" s="42">
        <f>I100</f>
        <v>4535.664547551196</v>
      </c>
      <c r="L100" s="42">
        <f>K100*K88</f>
        <v>24511.66503751758</v>
      </c>
      <c r="M100" s="24">
        <f>L100/F115</f>
        <v>0.48762449452963225</v>
      </c>
      <c r="N100" s="24">
        <f>L100*60/$I$120</f>
        <v>0.2850523416188981</v>
      </c>
      <c r="P100" s="28"/>
      <c r="AB100">
        <v>20</v>
      </c>
      <c r="AC100" s="19">
        <v>1.3414634146341462</v>
      </c>
    </row>
    <row r="101" spans="5:29" ht="12.75">
      <c r="E101" t="s">
        <v>89</v>
      </c>
      <c r="F101" s="3">
        <f>G89</f>
        <v>533</v>
      </c>
      <c r="G101" s="3">
        <v>0</v>
      </c>
      <c r="H101" s="3">
        <f>F101-G101</f>
        <v>533</v>
      </c>
      <c r="I101" s="48">
        <f>T67</f>
        <v>30963.590029810617</v>
      </c>
      <c r="J101" s="3">
        <f>0</f>
        <v>0</v>
      </c>
      <c r="K101" s="42">
        <f>I101</f>
        <v>30963.590029810617</v>
      </c>
      <c r="L101" s="42">
        <f>K101*K89</f>
        <v>147889.21881950667</v>
      </c>
      <c r="M101" s="24">
        <f>L101/F116</f>
        <v>0.8510198998812977</v>
      </c>
      <c r="N101" s="24">
        <f>L101*60/$I$119</f>
        <v>1.7198410658829464</v>
      </c>
      <c r="AB101">
        <v>21</v>
      </c>
      <c r="AC101" s="19">
        <v>1.3658536585365852</v>
      </c>
    </row>
    <row r="102" spans="17:29" ht="12.75">
      <c r="Q102" s="23"/>
      <c r="R102" s="23"/>
      <c r="S102" s="23"/>
      <c r="AB102">
        <v>22</v>
      </c>
      <c r="AC102" s="19">
        <v>1.3902439024390245</v>
      </c>
    </row>
    <row r="103" spans="5:29" ht="12.75">
      <c r="E103" t="s">
        <v>95</v>
      </c>
      <c r="F103" t="s">
        <v>96</v>
      </c>
      <c r="G103" t="s">
        <v>86</v>
      </c>
      <c r="H103" s="7" t="s">
        <v>97</v>
      </c>
      <c r="I103" s="7" t="s">
        <v>117</v>
      </c>
      <c r="J103" s="7" t="s">
        <v>114</v>
      </c>
      <c r="K103" t="s">
        <v>118</v>
      </c>
      <c r="L103" t="s">
        <v>98</v>
      </c>
      <c r="N103" s="23"/>
      <c r="AB103">
        <v>23</v>
      </c>
      <c r="AC103" s="19">
        <v>1.4146341463414631</v>
      </c>
    </row>
    <row r="104" spans="5:29" ht="12.75">
      <c r="E104" t="s">
        <v>82</v>
      </c>
      <c r="F104" s="45">
        <f>L87*J78</f>
        <v>-11382.51723731942</v>
      </c>
      <c r="G104" s="45">
        <f>M87*J78</f>
        <v>-837.517062333353</v>
      </c>
      <c r="H104" s="45">
        <f>F104+G104</f>
        <v>-12220.034299652772</v>
      </c>
      <c r="I104" s="24">
        <f>F104/F105</f>
        <v>1.2574269711839583</v>
      </c>
      <c r="J104" s="45">
        <f>J87*$J$76</f>
        <v>-13382.18921174311</v>
      </c>
      <c r="K104" s="24">
        <f>J104/J105</f>
        <v>1.2574269711839585</v>
      </c>
      <c r="L104" s="45">
        <f>H104+J104</f>
        <v>-25602.22351139588</v>
      </c>
      <c r="M104" s="23"/>
      <c r="N104" s="23"/>
      <c r="AB104">
        <v>24</v>
      </c>
      <c r="AC104" s="19">
        <v>1.4390243902439024</v>
      </c>
    </row>
    <row r="105" spans="5:29" ht="12.75">
      <c r="E105" t="s">
        <v>83</v>
      </c>
      <c r="F105" s="45">
        <f>L88*J78</f>
        <v>-9052.2292730861</v>
      </c>
      <c r="G105" s="45">
        <f>M88*J78</f>
        <v>-837.517062333353</v>
      </c>
      <c r="H105" s="45">
        <f>F105+G105</f>
        <v>-9889.746335419453</v>
      </c>
      <c r="I105" s="24">
        <v>1</v>
      </c>
      <c r="J105" s="45">
        <f>J88*$J$76</f>
        <v>-10642.518029609952</v>
      </c>
      <c r="K105" s="24">
        <v>1</v>
      </c>
      <c r="L105" s="45">
        <f>H105+J105</f>
        <v>-20532.264365029405</v>
      </c>
      <c r="M105" s="23"/>
      <c r="N105" s="23"/>
      <c r="T105" s="19"/>
      <c r="AB105">
        <v>25</v>
      </c>
      <c r="AC105" s="19">
        <v>1.4634146341463414</v>
      </c>
    </row>
    <row r="106" spans="5:29" ht="12.75">
      <c r="E106" t="s">
        <v>89</v>
      </c>
      <c r="F106" s="45">
        <f>L89*J78</f>
        <v>-4000.173880911096</v>
      </c>
      <c r="G106" s="3">
        <v>0</v>
      </c>
      <c r="H106" s="45">
        <f>F106+G106</f>
        <v>-4000.173880911096</v>
      </c>
      <c r="I106" s="24">
        <f>F106/F105</f>
        <v>0.4418993112342315</v>
      </c>
      <c r="J106" s="45">
        <f>J89*$J$76</f>
        <v>-18811.685548330115</v>
      </c>
      <c r="K106" s="24">
        <f>J106/J105</f>
        <v>1.7675972449369262</v>
      </c>
      <c r="L106" s="45">
        <f>H106+J106</f>
        <v>-22811.859429241213</v>
      </c>
      <c r="M106" s="23"/>
      <c r="N106" s="23"/>
      <c r="AB106">
        <v>26</v>
      </c>
      <c r="AC106" s="19">
        <v>1.4878048780487805</v>
      </c>
    </row>
    <row r="107" spans="20:29" ht="12.75">
      <c r="T107" s="23"/>
      <c r="AB107">
        <v>27</v>
      </c>
      <c r="AC107" s="19">
        <v>1.5121951219512195</v>
      </c>
    </row>
    <row r="108" spans="5:29" ht="12.75">
      <c r="E108" t="s">
        <v>99</v>
      </c>
      <c r="F108" t="s">
        <v>100</v>
      </c>
      <c r="G108" t="s">
        <v>101</v>
      </c>
      <c r="H108" t="s">
        <v>103</v>
      </c>
      <c r="I108" t="s">
        <v>102</v>
      </c>
      <c r="J108" t="s">
        <v>98</v>
      </c>
      <c r="L108" s="23"/>
      <c r="O108" s="97"/>
      <c r="P108" s="97"/>
      <c r="Q108" s="1"/>
      <c r="R108" s="1"/>
      <c r="S108" s="1"/>
      <c r="T108" s="1"/>
      <c r="U108" s="1"/>
      <c r="AB108">
        <v>28</v>
      </c>
      <c r="AC108" s="19">
        <v>1.5365853658536583</v>
      </c>
    </row>
    <row r="109" spans="5:29" ht="12.75">
      <c r="E109" t="s">
        <v>82</v>
      </c>
      <c r="F109" s="44">
        <f>$H$74*2</f>
        <v>644.3835616438356</v>
      </c>
      <c r="G109" s="42">
        <f>F109*K87</f>
        <v>4378.840341127785</v>
      </c>
      <c r="H109" s="44">
        <f>L81</f>
        <v>161.0958904109589</v>
      </c>
      <c r="I109" s="42">
        <f>H109*K87</f>
        <v>1094.7100852819462</v>
      </c>
      <c r="J109" s="42">
        <f>G109+I109</f>
        <v>5473.550426409731</v>
      </c>
      <c r="K109" s="23"/>
      <c r="L109" s="23"/>
      <c r="O109" s="97"/>
      <c r="P109" s="97"/>
      <c r="Q109" s="97"/>
      <c r="R109" s="97"/>
      <c r="S109" s="97"/>
      <c r="T109" s="1"/>
      <c r="U109" s="1"/>
      <c r="AB109">
        <v>29</v>
      </c>
      <c r="AC109" s="19">
        <v>1.5609756097560974</v>
      </c>
    </row>
    <row r="110" spans="5:29" ht="12.75">
      <c r="E110" t="s">
        <v>83</v>
      </c>
      <c r="F110" s="44">
        <f>$H$74*2</f>
        <v>644.3835616438356</v>
      </c>
      <c r="G110" s="42">
        <f>F110*K88</f>
        <v>3482.3814356429707</v>
      </c>
      <c r="H110" s="44">
        <f>L82</f>
        <v>322.1917808219178</v>
      </c>
      <c r="I110" s="42">
        <f>H110*K88</f>
        <v>1741.1907178214854</v>
      </c>
      <c r="J110" s="42">
        <f>G110+I110</f>
        <v>5223.572153464456</v>
      </c>
      <c r="K110" s="23"/>
      <c r="L110" s="23"/>
      <c r="O110" s="1"/>
      <c r="P110" s="1"/>
      <c r="Q110" s="1"/>
      <c r="R110" s="1"/>
      <c r="S110" s="1"/>
      <c r="T110" s="1"/>
      <c r="U110" s="1"/>
      <c r="AB110">
        <v>30</v>
      </c>
      <c r="AC110" s="19">
        <v>1.5853658536585364</v>
      </c>
    </row>
    <row r="111" spans="5:22" ht="12.75">
      <c r="E111" t="s">
        <v>89</v>
      </c>
      <c r="F111" s="44">
        <f>$H$74*2</f>
        <v>644.3835616438356</v>
      </c>
      <c r="G111" s="42">
        <f>F111*K89</f>
        <v>3077.7239157310064</v>
      </c>
      <c r="H111" s="3">
        <v>0</v>
      </c>
      <c r="I111" s="3">
        <v>0</v>
      </c>
      <c r="J111" s="42">
        <f>G111+I111</f>
        <v>3077.7239157310064</v>
      </c>
      <c r="K111" s="23"/>
      <c r="L111" s="23"/>
      <c r="V111" s="46"/>
    </row>
    <row r="113" spans="5:9" ht="12.75">
      <c r="E113" s="93" t="s">
        <v>192</v>
      </c>
      <c r="F113" t="s">
        <v>80</v>
      </c>
      <c r="G113" s="125" t="s">
        <v>175</v>
      </c>
      <c r="H113" s="126"/>
      <c r="I113" s="84" t="s">
        <v>187</v>
      </c>
    </row>
    <row r="114" spans="5:19" ht="12.75">
      <c r="E114" t="s">
        <v>82</v>
      </c>
      <c r="F114" s="83">
        <f>L99-L104+J109</f>
        <v>65945.29402988365</v>
      </c>
      <c r="G114" s="85" t="s">
        <v>82</v>
      </c>
      <c r="H114" s="88">
        <f>F114*60</f>
        <v>3956717.6417930187</v>
      </c>
      <c r="I114" s="86">
        <f>H114/$H$115</f>
        <v>1.3118872430212778</v>
      </c>
      <c r="Q114" s="46"/>
      <c r="R114" s="46"/>
      <c r="S114" s="46"/>
    </row>
    <row r="115" spans="5:19" ht="12.75">
      <c r="E115" t="s">
        <v>83</v>
      </c>
      <c r="F115" s="83">
        <f>L100-L105+J110</f>
        <v>50267.50155601144</v>
      </c>
      <c r="G115" s="85" t="s">
        <v>83</v>
      </c>
      <c r="H115" s="42">
        <f>F115*60</f>
        <v>3016050.0933606867</v>
      </c>
      <c r="I115" s="86">
        <f>H115/$H$115</f>
        <v>1</v>
      </c>
      <c r="Q115" s="46"/>
      <c r="R115" s="46"/>
      <c r="S115" s="46"/>
    </row>
    <row r="116" spans="5:9" ht="12.75">
      <c r="E116" t="s">
        <v>89</v>
      </c>
      <c r="F116" s="83">
        <f>L101-L106+J111</f>
        <v>173778.8021644789</v>
      </c>
      <c r="G116" s="87" t="s">
        <v>89</v>
      </c>
      <c r="H116" s="42">
        <f>F116*60</f>
        <v>10426728.129868735</v>
      </c>
      <c r="I116" s="86">
        <f>H116/$H$115</f>
        <v>3.4570805547365993</v>
      </c>
    </row>
    <row r="117" spans="5:13" ht="51" customHeight="1">
      <c r="E117" t="s">
        <v>105</v>
      </c>
      <c r="F117" s="3" t="str">
        <f>F9</f>
        <v>C. Hopper Car</v>
      </c>
      <c r="J117" s="129" t="s">
        <v>107</v>
      </c>
      <c r="L117" s="11" t="s">
        <v>129</v>
      </c>
      <c r="M117" s="129" t="s">
        <v>128</v>
      </c>
    </row>
    <row r="118" spans="5:14" ht="12.75">
      <c r="E118" s="5">
        <f>J70</f>
        <v>3462.686567164179</v>
      </c>
      <c r="F118" t="s">
        <v>106</v>
      </c>
      <c r="I118" t="s">
        <v>105</v>
      </c>
      <c r="J118" s="130"/>
      <c r="K118" t="s">
        <v>108</v>
      </c>
      <c r="L118" s="43">
        <v>0.1</v>
      </c>
      <c r="M118" s="130"/>
      <c r="N118" t="s">
        <v>167</v>
      </c>
    </row>
    <row r="119" spans="5:14" ht="12.75">
      <c r="E119" s="41">
        <f>VLOOKUP($F$9,$F$135:$K$138,5,0)</f>
        <v>1490</v>
      </c>
      <c r="F119" t="s">
        <v>119</v>
      </c>
      <c r="H119" t="s">
        <v>82</v>
      </c>
      <c r="I119" s="42">
        <f>E119*$E$118</f>
        <v>5159402.985074626</v>
      </c>
      <c r="J119" s="42">
        <f>H114</f>
        <v>3956717.6417930187</v>
      </c>
      <c r="K119" s="47">
        <f>I119-J119</f>
        <v>1202685.3432816076</v>
      </c>
      <c r="L119" s="42">
        <f>J119*$L$118</f>
        <v>395671.7641793019</v>
      </c>
      <c r="M119" s="47">
        <f>K119-L119</f>
        <v>807013.5791023057</v>
      </c>
      <c r="N119" s="23">
        <f>I119/J119</f>
        <v>1.303960366182865</v>
      </c>
    </row>
    <row r="120" spans="5:14" ht="12.75">
      <c r="E120" s="41">
        <f>VLOOKUP($F$9,$F$135:$K$138,5,0)</f>
        <v>1490</v>
      </c>
      <c r="F120" t="s">
        <v>119</v>
      </c>
      <c r="H120" t="s">
        <v>83</v>
      </c>
      <c r="I120" s="42">
        <f>E120*$E$118</f>
        <v>5159402.985074626</v>
      </c>
      <c r="J120" s="42">
        <f>H115</f>
        <v>3016050.0933606867</v>
      </c>
      <c r="K120" s="47">
        <f>I120-J120</f>
        <v>2143352.8917139396</v>
      </c>
      <c r="L120" s="42">
        <f>J120*$L$118</f>
        <v>301605.0093360687</v>
      </c>
      <c r="M120" s="47">
        <f>K120-L120</f>
        <v>1841747.8823778708</v>
      </c>
      <c r="N120" s="23">
        <f>I120/J120</f>
        <v>1.7106489698006544</v>
      </c>
    </row>
    <row r="121" spans="5:14" ht="12.75">
      <c r="E121" s="41">
        <f>VLOOKUP($F$9,$F$135:$K$138,6,0)</f>
        <v>1474</v>
      </c>
      <c r="F121" t="s">
        <v>120</v>
      </c>
      <c r="H121" t="s">
        <v>89</v>
      </c>
      <c r="I121" s="42">
        <f>E121*$E$118</f>
        <v>5104000</v>
      </c>
      <c r="J121" s="42">
        <f>H116</f>
        <v>10426728.129868735</v>
      </c>
      <c r="K121" s="47">
        <f>I121-J121</f>
        <v>-5322728.129868735</v>
      </c>
      <c r="L121" s="42">
        <f>J121*$L$118</f>
        <v>1042672.8129868736</v>
      </c>
      <c r="M121" s="47">
        <f>K121-L121</f>
        <v>-6365400.942855608</v>
      </c>
      <c r="N121" s="23">
        <f>I121/J121</f>
        <v>0.48951118092155105</v>
      </c>
    </row>
    <row r="123" spans="6:13" ht="51">
      <c r="F123" s="11" t="s">
        <v>112</v>
      </c>
      <c r="G123" s="11" t="s">
        <v>111</v>
      </c>
      <c r="H123" t="s">
        <v>113</v>
      </c>
      <c r="I123" s="11" t="s">
        <v>132</v>
      </c>
      <c r="J123" s="11" t="s">
        <v>130</v>
      </c>
      <c r="K123" s="11" t="s">
        <v>131</v>
      </c>
      <c r="L123" s="11" t="s">
        <v>133</v>
      </c>
      <c r="M123" s="11"/>
    </row>
    <row r="124" spans="5:13" ht="12.75">
      <c r="E124" t="s">
        <v>82</v>
      </c>
      <c r="F124" s="5">
        <f>$E$120</f>
        <v>1490</v>
      </c>
      <c r="G124" s="47">
        <f>J119/$E$118</f>
        <v>1142.6727672419495</v>
      </c>
      <c r="H124" s="47">
        <f>F124-G124</f>
        <v>347.3272327580505</v>
      </c>
      <c r="I124" s="37">
        <f>H124/F124</f>
        <v>0.2331055253409735</v>
      </c>
      <c r="J124" s="42">
        <f>G124*$L$118</f>
        <v>114.26727672419496</v>
      </c>
      <c r="K124" s="42">
        <f>H124-J124</f>
        <v>233.05995603385554</v>
      </c>
      <c r="L124" s="24">
        <f>K124/F124</f>
        <v>0.15641607787507084</v>
      </c>
      <c r="M124" s="28"/>
    </row>
    <row r="125" spans="5:13" ht="12.75">
      <c r="E125" t="s">
        <v>83</v>
      </c>
      <c r="F125" s="5">
        <f>$E$120</f>
        <v>1490</v>
      </c>
      <c r="G125" s="47">
        <f>J120/$E$118</f>
        <v>871.0144666170949</v>
      </c>
      <c r="H125" s="47">
        <f>F125-G125</f>
        <v>618.9855333829051</v>
      </c>
      <c r="I125" s="37">
        <f>H125/F125</f>
        <v>0.41542653247174843</v>
      </c>
      <c r="J125" s="42">
        <f>G125*$L$118</f>
        <v>87.10144666170949</v>
      </c>
      <c r="K125" s="42">
        <f>H125-J125</f>
        <v>531.8840867211957</v>
      </c>
      <c r="L125" s="24">
        <f>K125/F125</f>
        <v>0.3569691857189233</v>
      </c>
      <c r="M125" s="28"/>
    </row>
    <row r="126" spans="5:13" ht="12.75">
      <c r="E126" t="s">
        <v>89</v>
      </c>
      <c r="F126" s="5">
        <f>E121</f>
        <v>1474</v>
      </c>
      <c r="G126" s="47">
        <f>J121/$E$118</f>
        <v>3011.1671754362296</v>
      </c>
      <c r="H126" s="47">
        <f>F126-G126</f>
        <v>-1537.1671754362296</v>
      </c>
      <c r="I126" s="37">
        <f>H126/F126</f>
        <v>-1.042854257419423</v>
      </c>
      <c r="J126" s="42">
        <f>G126*$L$118</f>
        <v>301.116717543623</v>
      </c>
      <c r="K126" s="42">
        <f>H126-J126</f>
        <v>-1838.2838929798527</v>
      </c>
      <c r="L126" s="24">
        <f>K126/F126</f>
        <v>-1.2471396831613655</v>
      </c>
      <c r="M126" s="28"/>
    </row>
    <row r="128" spans="5:13" ht="12.75">
      <c r="E128" t="s">
        <v>201</v>
      </c>
      <c r="F128" t="s">
        <v>193</v>
      </c>
      <c r="G128" t="s">
        <v>194</v>
      </c>
      <c r="H128" t="s">
        <v>5</v>
      </c>
      <c r="I128" t="s">
        <v>196</v>
      </c>
      <c r="J128" t="s">
        <v>195</v>
      </c>
      <c r="K128" t="s">
        <v>204</v>
      </c>
      <c r="L128" t="s">
        <v>197</v>
      </c>
      <c r="M128" t="s">
        <v>198</v>
      </c>
    </row>
    <row r="129" spans="5:13" ht="12.75">
      <c r="E129" t="s">
        <v>82</v>
      </c>
      <c r="F129" s="28">
        <f>L81</f>
        <v>161.0958904109589</v>
      </c>
      <c r="G129" s="46">
        <f>J99</f>
        <v>3487.8343095509736</v>
      </c>
      <c r="H129" s="46">
        <f>-G104</f>
        <v>837.517062333353</v>
      </c>
      <c r="I129" s="28">
        <f>SUM(F129:H129)</f>
        <v>4486.447262295285</v>
      </c>
      <c r="J129" s="28">
        <f>I129/N73</f>
        <v>81.57176840536883</v>
      </c>
      <c r="K129" s="2">
        <f>J129/G124</f>
        <v>0.07138681409399233</v>
      </c>
      <c r="L129" s="96">
        <f>I129*K87</f>
        <v>30487.177870219093</v>
      </c>
      <c r="M129" s="96">
        <f>L129*60</f>
        <v>1829230.6722131455</v>
      </c>
    </row>
    <row r="130" spans="5:13" ht="12.75">
      <c r="E130" t="s">
        <v>83</v>
      </c>
      <c r="F130" s="28">
        <f>L82</f>
        <v>322.1917808219178</v>
      </c>
      <c r="G130" s="46">
        <f>J100</f>
        <v>2632.9459561206977</v>
      </c>
      <c r="H130" s="46">
        <f>-G105</f>
        <v>837.517062333353</v>
      </c>
      <c r="I130" s="28">
        <f>SUM(F130:H130)</f>
        <v>3792.6547992759683</v>
      </c>
      <c r="J130" s="28">
        <f>I130/N73</f>
        <v>68.95735998683578</v>
      </c>
      <c r="K130" s="2">
        <f>J130/G125</f>
        <v>0.07916901800110974</v>
      </c>
      <c r="L130" s="96">
        <f>I130*K88</f>
        <v>20496.28738372581</v>
      </c>
      <c r="M130" s="96">
        <f>L130*60</f>
        <v>1229777.2430235485</v>
      </c>
    </row>
    <row r="131" spans="5:13" ht="12.75">
      <c r="E131" t="s">
        <v>89</v>
      </c>
      <c r="F131" s="28">
        <f>L83</f>
        <v>0</v>
      </c>
      <c r="G131" s="46">
        <f>J101</f>
        <v>0</v>
      </c>
      <c r="H131" s="46">
        <f>-G106</f>
        <v>0</v>
      </c>
      <c r="I131" s="28">
        <f>SUM(F131:H131)</f>
        <v>0</v>
      </c>
      <c r="J131" s="28">
        <v>0</v>
      </c>
      <c r="K131" s="2">
        <v>0</v>
      </c>
      <c r="L131" s="96">
        <f>I131*K89</f>
        <v>0</v>
      </c>
      <c r="M131" s="96">
        <f>L131*60</f>
        <v>0</v>
      </c>
    </row>
    <row r="134" spans="6:11" ht="12.75">
      <c r="F134" s="98" t="s">
        <v>210</v>
      </c>
      <c r="G134" s="99"/>
      <c r="H134" s="99"/>
      <c r="I134" s="99"/>
      <c r="J134" s="99"/>
      <c r="K134" s="84"/>
    </row>
    <row r="135" spans="6:11" ht="12.75">
      <c r="F135" s="85"/>
      <c r="G135" s="100" t="s">
        <v>207</v>
      </c>
      <c r="H135" s="36" t="s">
        <v>208</v>
      </c>
      <c r="I135" s="36" t="s">
        <v>218</v>
      </c>
      <c r="J135" s="36" t="s">
        <v>219</v>
      </c>
      <c r="K135" s="101" t="s">
        <v>209</v>
      </c>
    </row>
    <row r="136" spans="6:11" ht="12.75">
      <c r="F136" s="85"/>
      <c r="G136" s="121">
        <v>1</v>
      </c>
      <c r="H136" s="36">
        <v>11</v>
      </c>
      <c r="I136" s="36">
        <v>30</v>
      </c>
      <c r="J136" s="36">
        <v>55</v>
      </c>
      <c r="K136" s="101">
        <v>110</v>
      </c>
    </row>
    <row r="137" spans="6:11" ht="12.75">
      <c r="F137" s="102" t="s">
        <v>212</v>
      </c>
      <c r="G137" s="103">
        <v>1750</v>
      </c>
      <c r="H137" s="103">
        <v>1650</v>
      </c>
      <c r="I137" s="103">
        <v>1600</v>
      </c>
      <c r="J137" s="103">
        <v>1570</v>
      </c>
      <c r="K137" s="104">
        <v>1540</v>
      </c>
    </row>
    <row r="138" spans="6:11" ht="12.75">
      <c r="F138" s="105" t="s">
        <v>211</v>
      </c>
      <c r="G138" s="106">
        <v>1665</v>
      </c>
      <c r="H138" s="106">
        <v>1565</v>
      </c>
      <c r="I138" s="106">
        <v>1515</v>
      </c>
      <c r="J138" s="106">
        <v>1490</v>
      </c>
      <c r="K138" s="107">
        <v>1474</v>
      </c>
    </row>
  </sheetData>
  <mergeCells count="14">
    <mergeCell ref="M8:Q8"/>
    <mergeCell ref="M29:Q29"/>
    <mergeCell ref="M49:Q49"/>
    <mergeCell ref="E2:Y4"/>
    <mergeCell ref="M117:M118"/>
    <mergeCell ref="J117:J118"/>
    <mergeCell ref="AA13:AB13"/>
    <mergeCell ref="AA14:AB14"/>
    <mergeCell ref="AA16:AB16"/>
    <mergeCell ref="AA17:AB17"/>
    <mergeCell ref="AL19:AN19"/>
    <mergeCell ref="G113:H113"/>
    <mergeCell ref="AA11:AB11"/>
    <mergeCell ref="AA12:AB12"/>
  </mergeCells>
  <conditionalFormatting sqref="AG59:AG60">
    <cfRule type="cellIs" priority="1" dxfId="0" operator="lessThan" stopIfTrue="1">
      <formula>$AF$59</formula>
    </cfRule>
  </conditionalFormatting>
  <conditionalFormatting sqref="O60:O64 O11:O15 O32:O36 O40:O44 O52:O56 O19:O23">
    <cfRule type="cellIs" priority="2" dxfId="1" operator="greaterThan" stopIfTrue="1">
      <formula>#REF!</formula>
    </cfRule>
  </conditionalFormatting>
  <dataValidations count="3">
    <dataValidation type="list" allowBlank="1" showInputMessage="1" showErrorMessage="1" sqref="AC64">
      <formula1>$AG$76:$AH$76</formula1>
    </dataValidation>
    <dataValidation type="list" allowBlank="1" showInputMessage="1" showErrorMessage="1" sqref="AC63 F9 F30 F50">
      <formula1>$AA$11:$AA$17</formula1>
    </dataValidation>
    <dataValidation type="list" allowBlank="1" showInputMessage="1" showErrorMessage="1" sqref="AC61 F13:G13 F11:G11 F34:G34 F32:G32 F54:G54 F52:G52">
      <formula1>$AA$20:$AA$28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Sol</dc:creator>
  <cp:keywords/>
  <dc:description/>
  <cp:lastModifiedBy> Kim Sol</cp:lastModifiedBy>
  <dcterms:created xsi:type="dcterms:W3CDTF">2006-08-23T23:45:09Z</dcterms:created>
  <dcterms:modified xsi:type="dcterms:W3CDTF">2009-11-23T20:06:28Z</dcterms:modified>
  <cp:category/>
  <cp:version/>
  <cp:contentType/>
  <cp:contentStatus/>
</cp:coreProperties>
</file>