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510" windowHeight="9690" activeTab="0"/>
  </bookViews>
  <sheets>
    <sheet name="Sheet5" sheetId="1" r:id="rId1"/>
    <sheet name="Sheet4" sheetId="2" r:id="rId2"/>
    <sheet name="Sheet3" sheetId="3" r:id="rId3"/>
    <sheet name="Sheet2" sheetId="4" r:id="rId4"/>
    <sheet name="Sheet1" sheetId="5" r:id="rId5"/>
  </sheets>
  <definedNames/>
  <calcPr fullCalcOnLoad="1"/>
</workbook>
</file>

<file path=xl/comments1.xml><?xml version="1.0" encoding="utf-8"?>
<comments xmlns="http://schemas.openxmlformats.org/spreadsheetml/2006/main">
  <authors>
    <author>Kim Sol</author>
  </authors>
  <commentList>
    <comment ref="O10" authorId="0">
      <text>
        <r>
          <rPr>
            <sz val="8"/>
            <rFont val="Tahoma"/>
            <family val="2"/>
          </rPr>
          <t xml:space="preserve">Red signifies that at the rated speed, the train has insufficient horsepower. Speed will be reduced.
</t>
        </r>
      </text>
    </comment>
    <comment ref="O18" authorId="0">
      <text>
        <r>
          <rPr>
            <sz val="8"/>
            <rFont val="Tahoma"/>
            <family val="2"/>
          </rPr>
          <t xml:space="preserve">Red signifies that at the rated speed, the train has insufficient horsepower. Speed will be reduced.
</t>
        </r>
      </text>
    </comment>
    <comment ref="O31" authorId="0">
      <text>
        <r>
          <rPr>
            <sz val="8"/>
            <rFont val="Tahoma"/>
            <family val="2"/>
          </rPr>
          <t xml:space="preserve">Red signifies that at the rated speed, the train has insufficient horsepower. Speed will be reduced.
</t>
        </r>
      </text>
    </comment>
    <comment ref="O39" authorId="0">
      <text>
        <r>
          <rPr>
            <sz val="8"/>
            <rFont val="Tahoma"/>
            <family val="2"/>
          </rPr>
          <t xml:space="preserve">Red signifies that at the rated speed, the train has insufficient horsepower. Speed will be reduced.
</t>
        </r>
      </text>
    </comment>
    <comment ref="O51" authorId="0">
      <text>
        <r>
          <rPr>
            <sz val="8"/>
            <rFont val="Tahoma"/>
            <family val="2"/>
          </rPr>
          <t xml:space="preserve">Red signifies that at the rated speed, the train has insufficient horsepower. Speed will be reduced.
</t>
        </r>
      </text>
    </comment>
    <comment ref="O59" authorId="0">
      <text>
        <r>
          <rPr>
            <sz val="8"/>
            <rFont val="Tahoma"/>
            <family val="2"/>
          </rPr>
          <t xml:space="preserve">Red signifies that at the rated speed, the train has insufficient horsepower. Speed will be reduced.
</t>
        </r>
      </text>
    </comment>
  </commentList>
</comments>
</file>

<file path=xl/comments2.xml><?xml version="1.0" encoding="utf-8"?>
<comments xmlns="http://schemas.openxmlformats.org/spreadsheetml/2006/main">
  <authors>
    <author>Kim Sol</author>
  </authors>
  <commentList>
    <comment ref="M7" authorId="0">
      <text>
        <r>
          <rPr>
            <sz val="8"/>
            <rFont val="Tahoma"/>
            <family val="2"/>
          </rPr>
          <t xml:space="preserve">Red signifies that at the rated speed, the train has insufficient horsepower. Speed will be reduced.
</t>
        </r>
      </text>
    </comment>
    <comment ref="Y7" authorId="0">
      <text>
        <r>
          <rPr>
            <sz val="8"/>
            <rFont val="Tahoma"/>
            <family val="2"/>
          </rPr>
          <t xml:space="preserve">The length of the train determines if the train will be passing through two or more curves at the same time. Here, curvature resistance may show the resistance of more than one curve.
</t>
        </r>
      </text>
    </comment>
  </commentList>
</comments>
</file>

<file path=xl/comments3.xml><?xml version="1.0" encoding="utf-8"?>
<comments xmlns="http://schemas.openxmlformats.org/spreadsheetml/2006/main">
  <authors>
    <author>Kim Sol</author>
  </authors>
  <commentList>
    <comment ref="L6" authorId="0">
      <text>
        <r>
          <rPr>
            <sz val="8"/>
            <rFont val="Tahoma"/>
            <family val="2"/>
          </rPr>
          <t xml:space="preserve">Red signifies that at the rated speed, the train has insufficient horsepower. Speed will be reduced.
</t>
        </r>
      </text>
    </comment>
  </commentList>
</comments>
</file>

<file path=xl/sharedStrings.xml><?xml version="1.0" encoding="utf-8"?>
<sst xmlns="http://schemas.openxmlformats.org/spreadsheetml/2006/main" count="821" uniqueCount="283">
  <si>
    <t>Weight</t>
  </si>
  <si>
    <t>References</t>
  </si>
  <si>
    <t>Moving Coefficient</t>
  </si>
  <si>
    <t>Cross Section</t>
  </si>
  <si>
    <t>K1</t>
  </si>
  <si>
    <t>K2</t>
  </si>
  <si>
    <t>K3</t>
  </si>
  <si>
    <t>Loco (Reg)</t>
  </si>
  <si>
    <t>Resistance in Lbs</t>
  </si>
  <si>
    <t>Mph</t>
  </si>
  <si>
    <t>COFC</t>
  </si>
  <si>
    <t>TOFC</t>
  </si>
  <si>
    <t>Air Drag Coefficient</t>
  </si>
  <si>
    <t>Axles</t>
  </si>
  <si>
    <t>Loco (Streamlined)</t>
  </si>
  <si>
    <t>Tractive Effort</t>
  </si>
  <si>
    <t>lbs</t>
  </si>
  <si>
    <t>Train Model</t>
  </si>
  <si>
    <t>Locomotives</t>
  </si>
  <si>
    <t>Total Resistance</t>
  </si>
  <si>
    <t>Passenger</t>
  </si>
  <si>
    <t>Box Car</t>
  </si>
  <si>
    <t>MPH</t>
  </si>
  <si>
    <t>% Aerodynamic</t>
  </si>
  <si>
    <t>TOTAL</t>
  </si>
  <si>
    <t>Davis Algorithm</t>
  </si>
  <si>
    <t>% Weight</t>
  </si>
  <si>
    <t>Traction Horsepower</t>
  </si>
  <si>
    <t>Total Tons</t>
  </si>
  <si>
    <t>Grade</t>
  </si>
  <si>
    <t>Locomotive Regular</t>
  </si>
  <si>
    <t>Locomotive Streamlined</t>
  </si>
  <si>
    <t>Curve</t>
  </si>
  <si>
    <t>Aerodynamic Resistance</t>
  </si>
  <si>
    <t>Speed</t>
  </si>
  <si>
    <t>Wind</t>
  </si>
  <si>
    <t>Boxcar</t>
  </si>
  <si>
    <t>Big Box</t>
  </si>
  <si>
    <t>C. Hopper Car</t>
  </si>
  <si>
    <t>SD-10</t>
  </si>
  <si>
    <t>GP-20</t>
  </si>
  <si>
    <t>GP-40</t>
  </si>
  <si>
    <t>SD-40-2</t>
  </si>
  <si>
    <t>SD-45</t>
  </si>
  <si>
    <t>FP-45</t>
  </si>
  <si>
    <t>SD-60</t>
  </si>
  <si>
    <t>SD-70</t>
  </si>
  <si>
    <t>SD-90</t>
  </si>
  <si>
    <t>Fuel -8</t>
  </si>
  <si>
    <t>Fuel-idle</t>
  </si>
  <si>
    <t>Type</t>
  </si>
  <si>
    <t>HP</t>
  </si>
  <si>
    <t>X Section</t>
  </si>
  <si>
    <t>Moving C</t>
  </si>
  <si>
    <t>Air Drag C</t>
  </si>
  <si>
    <t>hp</t>
  </si>
  <si>
    <t>Curvature</t>
  </si>
  <si>
    <t>Car Type</t>
  </si>
  <si>
    <t>Empty Wt</t>
  </si>
  <si>
    <t>Loaded WT</t>
  </si>
  <si>
    <t>HAL Hopper Car</t>
  </si>
  <si>
    <t>Conditions</t>
  </si>
  <si>
    <t>Moving Coeff.</t>
  </si>
  <si>
    <t>Air Coeff.</t>
  </si>
  <si>
    <t>Davis Model</t>
  </si>
  <si>
    <t>from EMD Locomotive Application Guide, Ver 1.0 August 1994</t>
  </si>
  <si>
    <t>Journal Resistance</t>
  </si>
  <si>
    <t>Flange Resistance</t>
  </si>
  <si>
    <t>Air Resistance</t>
  </si>
  <si>
    <t>Lbs resistance</t>
  </si>
  <si>
    <t>total</t>
  </si>
  <si>
    <t>Davis Formula -- Revised Using Poole</t>
  </si>
  <si>
    <t>Locomotive</t>
  </si>
  <si>
    <t># Carloads</t>
  </si>
  <si>
    <t># of Locomotives</t>
  </si>
  <si>
    <t>degrees</t>
  </si>
  <si>
    <t>per cent</t>
  </si>
  <si>
    <t>mph</t>
  </si>
  <si>
    <t>type</t>
  </si>
  <si>
    <t>lbs per ton</t>
  </si>
  <si>
    <t>Empty</t>
  </si>
  <si>
    <t xml:space="preserve">Loaded </t>
  </si>
  <si>
    <t>Resistance</t>
  </si>
  <si>
    <t xml:space="preserve">Air </t>
  </si>
  <si>
    <t>Journal</t>
  </si>
  <si>
    <t>Flange</t>
  </si>
  <si>
    <t>Percentage</t>
  </si>
  <si>
    <t>Air</t>
  </si>
  <si>
    <t>Carload</t>
  </si>
  <si>
    <t xml:space="preserve">Train </t>
  </si>
  <si>
    <t>Total Tonnage</t>
  </si>
  <si>
    <t>Total Air</t>
  </si>
  <si>
    <t>Total Journal</t>
  </si>
  <si>
    <t>Total Flange</t>
  </si>
  <si>
    <t>Available Tractive Effort</t>
  </si>
  <si>
    <t xml:space="preserve">Total </t>
  </si>
  <si>
    <t>Required HP</t>
  </si>
  <si>
    <t>Required # Locomotives</t>
  </si>
  <si>
    <t>Energy Use MODEL</t>
  </si>
  <si>
    <t>Milepost</t>
  </si>
  <si>
    <t>Name</t>
  </si>
  <si>
    <t>Distance</t>
  </si>
  <si>
    <t>Avery</t>
  </si>
  <si>
    <t>HP Required</t>
  </si>
  <si>
    <t>HP Available</t>
  </si>
  <si>
    <t>Cost</t>
  </si>
  <si>
    <t>Fuel--gallons</t>
  </si>
  <si>
    <t>Cost of fuel</t>
  </si>
  <si>
    <t>Total</t>
  </si>
  <si>
    <t>gallon</t>
  </si>
  <si>
    <t>Time</t>
  </si>
  <si>
    <t>Ruling Grade</t>
  </si>
  <si>
    <t>Actual Speed</t>
  </si>
  <si>
    <t>Max. Speed</t>
  </si>
  <si>
    <t>Elapsed Time</t>
  </si>
  <si>
    <t>Gallons</t>
  </si>
  <si>
    <t>Average Speed</t>
  </si>
  <si>
    <t>Total Distance</t>
  </si>
  <si>
    <t>]</t>
  </si>
  <si>
    <t>Throttle</t>
  </si>
  <si>
    <t>Accrued Distance</t>
  </si>
  <si>
    <t>HP Required, Yellow -- Dynamic Brake</t>
  </si>
  <si>
    <t>Fuel Cost</t>
  </si>
  <si>
    <t>Accrued Fuel</t>
  </si>
  <si>
    <t>Fuel use per mile</t>
  </si>
  <si>
    <t>Altitude (feet)</t>
  </si>
  <si>
    <t>Fuel/hr -8</t>
  </si>
  <si>
    <t>Fuel/hr-idle</t>
  </si>
  <si>
    <t>Total VerticalLift</t>
  </si>
  <si>
    <t>Total Vertical Lift</t>
  </si>
  <si>
    <t>Elapsed Time (hrs)</t>
  </si>
  <si>
    <t>Car Length</t>
  </si>
  <si>
    <t>feet</t>
  </si>
  <si>
    <t>Total Length</t>
  </si>
  <si>
    <t>Time of Day</t>
  </si>
  <si>
    <t>miles</t>
  </si>
  <si>
    <t>hrs</t>
  </si>
  <si>
    <t>Route</t>
  </si>
  <si>
    <t>Test Train</t>
  </si>
  <si>
    <t>Westbound</t>
  </si>
  <si>
    <t>Origin</t>
  </si>
  <si>
    <t>Term</t>
  </si>
  <si>
    <t>Train #</t>
  </si>
  <si>
    <t>"all weather" adhesion</t>
  </si>
  <si>
    <t>40 Series</t>
  </si>
  <si>
    <t>40-2 Series</t>
  </si>
  <si>
    <t>50 Series</t>
  </si>
  <si>
    <t>60 series</t>
  </si>
  <si>
    <t>SD70M (DC)</t>
  </si>
  <si>
    <t>SD70MAC</t>
  </si>
  <si>
    <t>Adhesion</t>
  </si>
  <si>
    <t>Per Shift</t>
  </si>
  <si>
    <t>Hopper Cars</t>
  </si>
  <si>
    <t>Interest</t>
  </si>
  <si>
    <t>Annual Cost</t>
  </si>
  <si>
    <t>Daily Cost</t>
  </si>
  <si>
    <t>Crews</t>
  </si>
  <si>
    <t>GN</t>
  </si>
  <si>
    <t>MILW</t>
  </si>
  <si>
    <t>One way</t>
  </si>
  <si>
    <t>Round trip</t>
  </si>
  <si>
    <t>Helpers</t>
  </si>
  <si>
    <t>Helper Locomotives</t>
  </si>
  <si>
    <t>Per shift</t>
  </si>
  <si>
    <t>SP&amp;S</t>
  </si>
  <si>
    <t>days</t>
  </si>
  <si>
    <t>bushels</t>
  </si>
  <si>
    <t>Total carloads</t>
  </si>
  <si>
    <t># locomotives at 0%</t>
  </si>
  <si>
    <t>#  Helper locomotives at 2.2%</t>
  </si>
  <si>
    <t>Cost of Fuel</t>
  </si>
  <si>
    <t>Subtract Helper Gade</t>
  </si>
  <si>
    <t>Cost of Equipment</t>
  </si>
  <si>
    <t>Road Locomotives</t>
  </si>
  <si>
    <t>Total Cost per day</t>
  </si>
  <si>
    <t>Total Daily Cost</t>
  </si>
  <si>
    <t>Total Employee Cost</t>
  </si>
  <si>
    <t>Per train</t>
  </si>
  <si>
    <t>Per day</t>
  </si>
  <si>
    <t>Helper Crews per day</t>
  </si>
  <si>
    <t>Helper Crew per train</t>
  </si>
  <si>
    <t>Level Distance</t>
  </si>
  <si>
    <t>Total Revenue</t>
  </si>
  <si>
    <t>carloads</t>
  </si>
  <si>
    <t>Total Operating Costs</t>
  </si>
  <si>
    <t>Net</t>
  </si>
  <si>
    <t>% of total Operating Costs</t>
  </si>
  <si>
    <t>% of Revenue</t>
  </si>
  <si>
    <t>Operating Cost per Carload</t>
  </si>
  <si>
    <t>Revenue per Carload</t>
  </si>
  <si>
    <t>Net/Carload</t>
  </si>
  <si>
    <t>Car Fleet Cost/Day</t>
  </si>
  <si>
    <t>Cycle Time/ Days</t>
  </si>
  <si>
    <t>Cars delivered per day, average</t>
  </si>
  <si>
    <t>Locomotive %'</t>
  </si>
  <si>
    <t>Car Fleet %</t>
  </si>
  <si>
    <t>carload rate/55 cars</t>
  </si>
  <si>
    <t>carload rate/110 cars</t>
  </si>
  <si>
    <t>Fuel Cost Per Train</t>
  </si>
  <si>
    <t>Total Cost of Fuel per day</t>
  </si>
  <si>
    <t>Car Fleet Investment</t>
  </si>
  <si>
    <t>Locomotive Investment</t>
  </si>
  <si>
    <t>Total Equipment Investment</t>
  </si>
  <si>
    <t>Total Mileage</t>
  </si>
  <si>
    <t>Total Fuel Cost per Train</t>
  </si>
  <si>
    <t>Net after Fixed Costs</t>
  </si>
  <si>
    <t>% of Operating --Estimate of Fixed Costs</t>
  </si>
  <si>
    <t>Fixed Cost allocated/carload</t>
  </si>
  <si>
    <t>Net After Fully Allocated Costs</t>
  </si>
  <si>
    <t>Net % of Revenue</t>
  </si>
  <si>
    <t>Net % of Fully Allocated Costs</t>
  </si>
  <si>
    <t>Helper Fuel -- 2% grades</t>
  </si>
  <si>
    <t>Cycle Time*</t>
  </si>
  <si>
    <t>Northern Line</t>
  </si>
  <si>
    <t># of Helpers</t>
  </si>
  <si>
    <t># of Carloads</t>
  </si>
  <si>
    <t>Helper Type</t>
  </si>
  <si>
    <t>Train Weight (lbs)</t>
  </si>
  <si>
    <t>Car Weight (lbs)</t>
  </si>
  <si>
    <t>Train weight (tons)</t>
  </si>
  <si>
    <t>Average Train Speed</t>
  </si>
  <si>
    <t>TOTALS</t>
  </si>
  <si>
    <t>Time (Hrs)</t>
  </si>
  <si>
    <t>Westbound Curvature</t>
  </si>
  <si>
    <t>Westbound Grade</t>
  </si>
  <si>
    <t>Eastbound Curvature</t>
  </si>
  <si>
    <t>Eastbound Grade</t>
  </si>
  <si>
    <t>Westbound Loaded</t>
  </si>
  <si>
    <t>Eastbound Empty</t>
  </si>
  <si>
    <t>Westbound Resistance</t>
  </si>
  <si>
    <t>Eastbound Resistance</t>
  </si>
  <si>
    <t>Westbound Air</t>
  </si>
  <si>
    <t>Westbound Journal</t>
  </si>
  <si>
    <t>Westbound Flange</t>
  </si>
  <si>
    <t>Westbound CurveCurve</t>
  </si>
  <si>
    <t>Total shipment</t>
  </si>
  <si>
    <t>Tare Ratio</t>
  </si>
  <si>
    <t>TOTAL ROUND TRIP</t>
  </si>
  <si>
    <t>Middle Line</t>
  </si>
  <si>
    <t>Southern Line</t>
  </si>
  <si>
    <t>Eastbound Air</t>
  </si>
  <si>
    <t>Alloted time</t>
  </si>
  <si>
    <t># of Trains/day</t>
  </si>
  <si>
    <t>employee workdays/year</t>
  </si>
  <si>
    <t>Annual Employee Pay</t>
  </si>
  <si>
    <t>Freight Car Cost</t>
  </si>
  <si>
    <t>Locomotive Cost</t>
  </si>
  <si>
    <t>R/VC</t>
  </si>
  <si>
    <t>Eastbound Journal</t>
  </si>
  <si>
    <t>Eastbound  Flange</t>
  </si>
  <si>
    <t>Eastbound Curve</t>
  </si>
  <si>
    <t>Westbound Curve</t>
  </si>
  <si>
    <t>Eastbound Flange</t>
  </si>
  <si>
    <t># trains/helper shift</t>
  </si>
  <si>
    <t>Cost of Helper Crew/grain train</t>
  </si>
  <si>
    <t>Total Project Operating Cost</t>
  </si>
  <si>
    <t>GRAIN PROJECT</t>
  </si>
  <si>
    <t xml:space="preserve">   Operating Cost Comparison, Grain Trains, Spokane to Seattle, Great Northern, Milwaukee, SP&amp;S</t>
  </si>
  <si>
    <t>Bushels/carload</t>
  </si>
  <si>
    <t>Pay Per Day</t>
  </si>
  <si>
    <t>Unit Train Carloads</t>
  </si>
  <si>
    <t>Shuttle Train Carloads</t>
  </si>
  <si>
    <t>LINE COMPARISONS</t>
  </si>
  <si>
    <t>Line Density</t>
  </si>
  <si>
    <t>Cycle time change due to congestion</t>
  </si>
  <si>
    <t>Trains per day</t>
  </si>
  <si>
    <t>Cycle time change</t>
  </si>
  <si>
    <t>Index</t>
  </si>
  <si>
    <t>SP&amp;S/NP</t>
  </si>
  <si>
    <t>1. Employment and Equipment Costs</t>
  </si>
  <si>
    <t>2. Cycle Time and Fleet Size</t>
  </si>
  <si>
    <t>3. Cost of Fuel</t>
  </si>
  <si>
    <t>4. Combined OPERATING COST</t>
  </si>
  <si>
    <t>Cost of Helpers</t>
  </si>
  <si>
    <t>Crew</t>
  </si>
  <si>
    <t>Fuel</t>
  </si>
  <si>
    <t>Per carload</t>
  </si>
  <si>
    <t>Total/train</t>
  </si>
  <si>
    <t>%/total cost</t>
  </si>
  <si>
    <t>Cost per day</t>
  </si>
  <si>
    <t>60 days</t>
  </si>
  <si>
    <t>Required Car Fleet</t>
  </si>
  <si>
    <t>Equipment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</si>
</sst>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00000"/>
    <numFmt numFmtId="169" formatCode="#,##0.0000"/>
    <numFmt numFmtId="170" formatCode="&quot;$&quot;#,##0.00"/>
    <numFmt numFmtId="171" formatCode="0.0"/>
    <numFmt numFmtId="172" formatCode="[$-409]h:mm:ss\ AM/PM"/>
    <numFmt numFmtId="173" formatCode="h:mm;@"/>
    <numFmt numFmtId="174" formatCode="00000\-0000"/>
    <numFmt numFmtId="175" formatCode="&quot;$&quot;#,##0"/>
    <numFmt numFmtId="176" formatCode="[$-409]h:mm\ AM/PM;@"/>
    <numFmt numFmtId="177" formatCode="0.000"/>
    <numFmt numFmtId="178" formatCode="h:mm:ss;@"/>
    <numFmt numFmtId="179" formatCode="mm:ss.0;@"/>
    <numFmt numFmtId="180" formatCode="[h]:mm:ss;@"/>
    <numFmt numFmtId="181" formatCode="[$-409]h:mm:ss\ AM/PM;@"/>
    <numFmt numFmtId="182" formatCode="[$-409]m/d/yy\ h:mm\ AM/PM;@"/>
    <numFmt numFmtId="183" formatCode="[$-409]dddd\,\ mmmm\ dd\,\ yyyy"/>
    <numFmt numFmtId="184" formatCode="m/d/yy\ h:mm;@"/>
    <numFmt numFmtId="185" formatCode="&quot;Yes&quot;;&quot;Yes&quot;;&quot;No&quot;"/>
    <numFmt numFmtId="186" formatCode="&quot;True&quot;;&quot;True&quot;;&quot;False&quot;"/>
    <numFmt numFmtId="187" formatCode="&quot;On&quot;;&quot;On&quot;;&quot;Off&quot;"/>
    <numFmt numFmtId="188" formatCode="[$€-2]\ #,##0.00_);[Red]\([$€-2]\ #,##0.00\)"/>
  </numFmts>
  <fonts count="55">
    <font>
      <sz val="10"/>
      <name val="Arial"/>
      <family val="0"/>
    </font>
    <font>
      <sz val="8"/>
      <name val="Arial"/>
      <family val="2"/>
    </font>
    <font>
      <b/>
      <sz val="10"/>
      <name val="Arial"/>
      <family val="2"/>
    </font>
    <font>
      <sz val="10"/>
      <color indexed="55"/>
      <name val="Arial"/>
      <family val="2"/>
    </font>
    <font>
      <b/>
      <sz val="12"/>
      <name val="Arial"/>
      <family val="2"/>
    </font>
    <font>
      <sz val="9"/>
      <name val="Arial"/>
      <family val="2"/>
    </font>
    <font>
      <sz val="8"/>
      <name val="Tahoma"/>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2"/>
    </font>
    <font>
      <b/>
      <sz val="11.5"/>
      <color indexed="8"/>
      <name val="Arial"/>
      <family val="2"/>
    </font>
    <font>
      <b/>
      <sz val="12"/>
      <color indexed="8"/>
      <name val="Arial"/>
      <family val="2"/>
    </font>
    <font>
      <sz val="10"/>
      <color indexed="8"/>
      <name val="Arial"/>
      <family val="2"/>
    </font>
    <font>
      <b/>
      <sz val="10"/>
      <color indexed="8"/>
      <name val="Arial"/>
      <family val="2"/>
    </font>
    <font>
      <sz val="12"/>
      <color indexed="8"/>
      <name val="Arial"/>
      <family val="2"/>
    </font>
    <font>
      <b/>
      <sz val="15.25"/>
      <color indexed="8"/>
      <name val="Arial"/>
      <family val="2"/>
    </font>
    <font>
      <sz val="9.2"/>
      <color indexed="8"/>
      <name val="Arial"/>
      <family val="2"/>
    </font>
    <font>
      <sz val="8"/>
      <color indexed="8"/>
      <name val="Arial"/>
      <family val="2"/>
    </font>
    <font>
      <b/>
      <sz val="8"/>
      <color indexed="8"/>
      <name val="Arial"/>
      <family val="2"/>
    </font>
    <font>
      <b/>
      <sz val="14.25"/>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color indexed="22"/>
      </left>
      <right style="medium"/>
      <top>
        <color indexed="63"/>
      </top>
      <bottom style="medium">
        <color indexed="22"/>
      </bottom>
    </border>
    <border>
      <left style="medium">
        <color indexed="22"/>
      </left>
      <right>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bottom style="thin">
        <color indexed="22"/>
      </bottom>
    </border>
    <border>
      <left style="thin"/>
      <right style="thin"/>
      <top>
        <color indexed="63"/>
      </top>
      <bottom>
        <color indexed="63"/>
      </bottom>
    </border>
    <border>
      <left>
        <color indexed="63"/>
      </left>
      <right>
        <color indexed="63"/>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22"/>
      </top>
      <bottom style="thin">
        <color indexed="22"/>
      </bottom>
    </border>
    <border>
      <left style="thin"/>
      <right style="thin">
        <color indexed="31"/>
      </right>
      <top style="thin">
        <color indexed="31"/>
      </top>
      <bottom style="thin">
        <color indexed="31"/>
      </bottom>
    </border>
    <border>
      <left style="thin">
        <color indexed="31"/>
      </left>
      <right style="thin"/>
      <top style="thin">
        <color indexed="31"/>
      </top>
      <bottom style="thin">
        <color indexed="3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top style="thin">
        <color indexed="22"/>
      </top>
      <bottom style="thin">
        <color indexed="22"/>
      </bottom>
    </border>
    <border>
      <left>
        <color indexed="63"/>
      </left>
      <right style="thin"/>
      <top>
        <color indexed="63"/>
      </top>
      <bottom style="thin"/>
    </border>
    <border>
      <left style="thick"/>
      <right style="thick"/>
      <top style="thick"/>
      <bottom style="thick"/>
    </border>
    <border>
      <left style="thin">
        <color indexed="22"/>
      </left>
      <right style="thin">
        <color indexed="22"/>
      </right>
      <top>
        <color indexed="63"/>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9">
    <xf numFmtId="0" fontId="0" fillId="0" borderId="0" xfId="0" applyAlignment="1">
      <alignment/>
    </xf>
    <xf numFmtId="3" fontId="0" fillId="0" borderId="0" xfId="0" applyNumberFormat="1" applyAlignment="1">
      <alignment/>
    </xf>
    <xf numFmtId="10" fontId="0" fillId="0" borderId="0" xfId="0" applyNumberFormat="1" applyAlignment="1">
      <alignment/>
    </xf>
    <xf numFmtId="0" fontId="0" fillId="33" borderId="10" xfId="0" applyFill="1" applyBorder="1" applyAlignment="1">
      <alignment/>
    </xf>
    <xf numFmtId="0" fontId="0" fillId="34" borderId="10" xfId="0" applyFill="1" applyBorder="1" applyAlignment="1">
      <alignment/>
    </xf>
    <xf numFmtId="3" fontId="0" fillId="33" borderId="10" xfId="0" applyNumberFormat="1" applyFill="1" applyBorder="1" applyAlignment="1">
      <alignment/>
    </xf>
    <xf numFmtId="0" fontId="0" fillId="35" borderId="10" xfId="0" applyFill="1" applyBorder="1" applyAlignment="1">
      <alignment/>
    </xf>
    <xf numFmtId="3" fontId="0" fillId="36" borderId="10" xfId="0" applyNumberFormat="1" applyFill="1" applyBorder="1" applyAlignment="1">
      <alignment/>
    </xf>
    <xf numFmtId="0" fontId="0" fillId="0" borderId="0" xfId="0" applyAlignment="1">
      <alignment shrinkToFit="1"/>
    </xf>
    <xf numFmtId="3" fontId="2" fillId="33" borderId="10" xfId="0" applyNumberFormat="1" applyFont="1" applyFill="1" applyBorder="1" applyAlignment="1">
      <alignment/>
    </xf>
    <xf numFmtId="0" fontId="0" fillId="0" borderId="0" xfId="0" applyBorder="1" applyAlignment="1">
      <alignment shrinkToFit="1"/>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65" fontId="0" fillId="0" borderId="0" xfId="0" applyNumberFormat="1" applyBorder="1" applyAlignment="1">
      <alignment/>
    </xf>
    <xf numFmtId="165" fontId="0" fillId="0" borderId="12" xfId="0" applyNumberFormat="1" applyBorder="1" applyAlignment="1">
      <alignment/>
    </xf>
    <xf numFmtId="166" fontId="3" fillId="0" borderId="0" xfId="0" applyNumberFormat="1" applyFont="1" applyBorder="1" applyAlignment="1" applyProtection="1">
      <alignment/>
      <protection hidden="1"/>
    </xf>
    <xf numFmtId="0" fontId="0" fillId="0" borderId="12" xfId="0" applyBorder="1" applyAlignment="1">
      <alignment shrinkToFit="1"/>
    </xf>
    <xf numFmtId="0" fontId="0" fillId="0" borderId="0" xfId="0" applyAlignment="1">
      <alignment horizontal="center"/>
    </xf>
    <xf numFmtId="0" fontId="0" fillId="0" borderId="0" xfId="0" applyAlignment="1">
      <alignment wrapText="1"/>
    </xf>
    <xf numFmtId="10" fontId="0" fillId="35" borderId="10" xfId="0" applyNumberFormat="1" applyFill="1" applyBorder="1" applyAlignment="1">
      <alignment/>
    </xf>
    <xf numFmtId="3" fontId="0" fillId="0" borderId="0" xfId="0" applyNumberFormat="1" applyFill="1" applyBorder="1" applyAlignment="1">
      <alignment/>
    </xf>
    <xf numFmtId="4" fontId="0" fillId="0" borderId="0" xfId="0" applyNumberFormat="1" applyAlignment="1">
      <alignment/>
    </xf>
    <xf numFmtId="0" fontId="0" fillId="35" borderId="10" xfId="0" applyFill="1" applyBorder="1" applyAlignment="1">
      <alignment horizontal="right"/>
    </xf>
    <xf numFmtId="2" fontId="0" fillId="33" borderId="10" xfId="0" applyNumberFormat="1" applyFill="1" applyBorder="1" applyAlignment="1">
      <alignment/>
    </xf>
    <xf numFmtId="0" fontId="1" fillId="0" borderId="0" xfId="0" applyFont="1" applyAlignment="1">
      <alignment/>
    </xf>
    <xf numFmtId="0" fontId="1" fillId="34" borderId="10" xfId="0" applyFont="1" applyFill="1" applyBorder="1" applyAlignment="1">
      <alignment/>
    </xf>
    <xf numFmtId="0" fontId="0" fillId="34" borderId="10" xfId="0" applyFill="1" applyBorder="1" applyAlignment="1">
      <alignment shrinkToFit="1"/>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5" fillId="33" borderId="10" xfId="0" applyFont="1" applyFill="1" applyBorder="1" applyAlignment="1">
      <alignment/>
    </xf>
    <xf numFmtId="3" fontId="1" fillId="33" borderId="10" xfId="0" applyNumberFormat="1" applyFont="1" applyFill="1" applyBorder="1" applyAlignment="1">
      <alignment/>
    </xf>
    <xf numFmtId="0" fontId="1" fillId="33" borderId="10" xfId="0" applyFont="1" applyFill="1" applyBorder="1" applyAlignment="1">
      <alignment/>
    </xf>
    <xf numFmtId="3" fontId="0" fillId="34" borderId="10" xfId="0" applyNumberFormat="1" applyFill="1" applyBorder="1" applyAlignment="1">
      <alignment/>
    </xf>
    <xf numFmtId="3" fontId="0" fillId="33" borderId="17" xfId="0" applyNumberFormat="1" applyFill="1" applyBorder="1" applyAlignment="1">
      <alignment/>
    </xf>
    <xf numFmtId="3" fontId="0" fillId="36" borderId="18" xfId="0" applyNumberFormat="1" applyFill="1" applyBorder="1" applyAlignment="1">
      <alignment/>
    </xf>
    <xf numFmtId="3" fontId="0" fillId="33" borderId="18" xfId="0" applyNumberFormat="1" applyFill="1" applyBorder="1" applyAlignment="1">
      <alignment/>
    </xf>
    <xf numFmtId="3" fontId="2" fillId="33" borderId="18" xfId="0" applyNumberFormat="1" applyFont="1" applyFill="1" applyBorder="1" applyAlignment="1">
      <alignment/>
    </xf>
    <xf numFmtId="166" fontId="3" fillId="0" borderId="19" xfId="0" applyNumberFormat="1" applyFont="1" applyBorder="1" applyAlignment="1" applyProtection="1">
      <alignment/>
      <protection hidden="1"/>
    </xf>
    <xf numFmtId="165" fontId="0" fillId="0" borderId="20" xfId="0" applyNumberFormat="1" applyBorder="1" applyAlignment="1">
      <alignment/>
    </xf>
    <xf numFmtId="0" fontId="2" fillId="0" borderId="0" xfId="0" applyFont="1" applyAlignment="1">
      <alignment/>
    </xf>
    <xf numFmtId="2" fontId="0" fillId="0" borderId="0" xfId="0" applyNumberFormat="1" applyAlignment="1">
      <alignment/>
    </xf>
    <xf numFmtId="3" fontId="0" fillId="33" borderId="21" xfId="0" applyNumberFormat="1" applyFill="1" applyBorder="1" applyAlignment="1">
      <alignment/>
    </xf>
    <xf numFmtId="3" fontId="0" fillId="37" borderId="22" xfId="0" applyNumberFormat="1" applyFill="1" applyBorder="1" applyAlignment="1">
      <alignment/>
    </xf>
    <xf numFmtId="0" fontId="0" fillId="37" borderId="23" xfId="0" applyFill="1" applyBorder="1" applyAlignment="1">
      <alignment/>
    </xf>
    <xf numFmtId="0" fontId="0" fillId="37" borderId="24" xfId="0" applyFill="1" applyBorder="1" applyAlignment="1">
      <alignment/>
    </xf>
    <xf numFmtId="165" fontId="0" fillId="0" borderId="19" xfId="0" applyNumberFormat="1" applyBorder="1" applyAlignment="1">
      <alignment/>
    </xf>
    <xf numFmtId="0" fontId="0" fillId="0" borderId="0" xfId="0" applyBorder="1" applyAlignment="1" applyProtection="1">
      <alignment/>
      <protection hidden="1"/>
    </xf>
    <xf numFmtId="3" fontId="0" fillId="0" borderId="0" xfId="0" applyNumberFormat="1" applyBorder="1" applyAlignment="1">
      <alignment shrinkToFit="1"/>
    </xf>
    <xf numFmtId="4" fontId="0" fillId="33" borderId="10" xfId="0" applyNumberFormat="1" applyFill="1" applyBorder="1" applyAlignment="1">
      <alignment/>
    </xf>
    <xf numFmtId="9" fontId="0" fillId="0" borderId="0" xfId="0" applyNumberFormat="1" applyAlignment="1">
      <alignment/>
    </xf>
    <xf numFmtId="9" fontId="0" fillId="33" borderId="10" xfId="0" applyNumberFormat="1" applyFill="1" applyBorder="1" applyAlignment="1">
      <alignment/>
    </xf>
    <xf numFmtId="0" fontId="0" fillId="37" borderId="22" xfId="0" applyFill="1" applyBorder="1" applyAlignment="1">
      <alignment horizontal="center"/>
    </xf>
    <xf numFmtId="0" fontId="0" fillId="37" borderId="17" xfId="0" applyFill="1" applyBorder="1" applyAlignment="1">
      <alignment/>
    </xf>
    <xf numFmtId="0" fontId="0" fillId="37" borderId="25" xfId="0" applyFill="1" applyBorder="1" applyAlignment="1">
      <alignment/>
    </xf>
    <xf numFmtId="0" fontId="0" fillId="37" borderId="22" xfId="0" applyFill="1" applyBorder="1" applyAlignment="1">
      <alignment/>
    </xf>
    <xf numFmtId="1" fontId="4" fillId="33" borderId="10" xfId="0" applyNumberFormat="1" applyFont="1" applyFill="1" applyBorder="1" applyAlignment="1">
      <alignment horizontal="center"/>
    </xf>
    <xf numFmtId="170" fontId="0" fillId="0" borderId="0" xfId="0" applyNumberFormat="1" applyAlignment="1">
      <alignment/>
    </xf>
    <xf numFmtId="170" fontId="0" fillId="35" borderId="10" xfId="0" applyNumberFormat="1" applyFill="1" applyBorder="1" applyAlignment="1">
      <alignment/>
    </xf>
    <xf numFmtId="1" fontId="0" fillId="35" borderId="10" xfId="0" applyNumberFormat="1" applyFill="1" applyBorder="1" applyAlignment="1">
      <alignment/>
    </xf>
    <xf numFmtId="171" fontId="2" fillId="38" borderId="21" xfId="0" applyNumberFormat="1" applyFont="1" applyFill="1" applyBorder="1" applyAlignment="1">
      <alignment/>
    </xf>
    <xf numFmtId="171" fontId="2" fillId="38" borderId="26" xfId="0" applyNumberFormat="1" applyFont="1" applyFill="1" applyBorder="1" applyAlignment="1">
      <alignment/>
    </xf>
    <xf numFmtId="0" fontId="0" fillId="0" borderId="0" xfId="0" applyAlignment="1">
      <alignment horizontal="left" vertical="top" wrapText="1"/>
    </xf>
    <xf numFmtId="4" fontId="2" fillId="38" borderId="10" xfId="0" applyNumberFormat="1" applyFont="1" applyFill="1" applyBorder="1" applyAlignment="1">
      <alignment/>
    </xf>
    <xf numFmtId="170" fontId="2" fillId="38" borderId="10" xfId="0" applyNumberFormat="1" applyFont="1" applyFill="1" applyBorder="1" applyAlignment="1">
      <alignment/>
    </xf>
    <xf numFmtId="0" fontId="0" fillId="0" borderId="0" xfId="0" applyAlignment="1">
      <alignment horizontal="left" vertical="top"/>
    </xf>
    <xf numFmtId="0" fontId="2" fillId="38" borderId="10" xfId="0" applyFont="1" applyFill="1" applyBorder="1" applyAlignment="1">
      <alignment/>
    </xf>
    <xf numFmtId="171" fontId="2" fillId="38" borderId="10" xfId="0" applyNumberFormat="1" applyFont="1" applyFill="1" applyBorder="1" applyAlignment="1">
      <alignment/>
    </xf>
    <xf numFmtId="2" fontId="2" fillId="38" borderId="10" xfId="0" applyNumberFormat="1" applyFont="1" applyFill="1" applyBorder="1" applyAlignment="1">
      <alignment/>
    </xf>
    <xf numFmtId="1" fontId="0" fillId="0" borderId="0" xfId="0" applyNumberFormat="1" applyAlignment="1">
      <alignment/>
    </xf>
    <xf numFmtId="0" fontId="0" fillId="0" borderId="0" xfId="0" applyAlignment="1">
      <alignment wrapText="1" shrinkToFit="1"/>
    </xf>
    <xf numFmtId="171" fontId="0" fillId="0" borderId="0" xfId="0" applyNumberFormat="1" applyAlignment="1">
      <alignment/>
    </xf>
    <xf numFmtId="0" fontId="0" fillId="0" borderId="0" xfId="0" applyAlignment="1">
      <alignment horizontal="center" wrapText="1"/>
    </xf>
    <xf numFmtId="4" fontId="0" fillId="33" borderId="0" xfId="0" applyNumberFormat="1" applyFill="1" applyBorder="1" applyAlignment="1">
      <alignment/>
    </xf>
    <xf numFmtId="0" fontId="0" fillId="33" borderId="0" xfId="0" applyFill="1" applyBorder="1" applyAlignment="1">
      <alignment/>
    </xf>
    <xf numFmtId="3" fontId="0" fillId="33" borderId="0" xfId="0" applyNumberFormat="1" applyFill="1" applyBorder="1" applyAlignment="1">
      <alignment/>
    </xf>
    <xf numFmtId="0" fontId="0" fillId="0" borderId="0" xfId="0" applyAlignment="1">
      <alignment textRotation="90" shrinkToFit="1"/>
    </xf>
    <xf numFmtId="0" fontId="0" fillId="0" borderId="0" xfId="0" applyAlignment="1">
      <alignment textRotation="90" wrapText="1"/>
    </xf>
    <xf numFmtId="0" fontId="0" fillId="37" borderId="22" xfId="0" applyFill="1" applyBorder="1" applyAlignment="1">
      <alignment horizontal="left" vertical="top" wrapText="1"/>
    </xf>
    <xf numFmtId="0" fontId="0" fillId="0" borderId="0" xfId="0" applyAlignment="1">
      <alignment horizontal="left" vertical="top" textRotation="90" wrapText="1"/>
    </xf>
    <xf numFmtId="3" fontId="2" fillId="38" borderId="10" xfId="0" applyNumberFormat="1" applyFont="1" applyFill="1" applyBorder="1" applyAlignment="1">
      <alignment/>
    </xf>
    <xf numFmtId="3" fontId="2" fillId="38" borderId="21" xfId="0" applyNumberFormat="1" applyFont="1" applyFill="1" applyBorder="1" applyAlignment="1">
      <alignment/>
    </xf>
    <xf numFmtId="0" fontId="0" fillId="0" borderId="0" xfId="0" applyAlignment="1">
      <alignment textRotation="90" wrapText="1" shrinkToFit="1"/>
    </xf>
    <xf numFmtId="0" fontId="2" fillId="0" borderId="0" xfId="0" applyFont="1" applyAlignment="1">
      <alignment textRotation="90" shrinkToFit="1"/>
    </xf>
    <xf numFmtId="0" fontId="2" fillId="37" borderId="27" xfId="0" applyFont="1" applyFill="1" applyBorder="1" applyAlignment="1">
      <alignment/>
    </xf>
    <xf numFmtId="0" fontId="2" fillId="38" borderId="28" xfId="0" applyFont="1" applyFill="1" applyBorder="1" applyAlignment="1">
      <alignment/>
    </xf>
    <xf numFmtId="0" fontId="0" fillId="0" borderId="0" xfId="0" applyAlignment="1">
      <alignment vertical="top" textRotation="90"/>
    </xf>
    <xf numFmtId="0" fontId="2" fillId="37" borderId="29" xfId="0" applyFont="1" applyFill="1" applyBorder="1" applyAlignment="1">
      <alignment/>
    </xf>
    <xf numFmtId="171" fontId="2" fillId="38" borderId="28" xfId="0" applyNumberFormat="1" applyFont="1" applyFill="1" applyBorder="1" applyAlignment="1">
      <alignment/>
    </xf>
    <xf numFmtId="4" fontId="2" fillId="37" borderId="30" xfId="0" applyNumberFormat="1" applyFont="1" applyFill="1" applyBorder="1" applyAlignment="1">
      <alignment/>
    </xf>
    <xf numFmtId="4" fontId="2" fillId="37" borderId="31" xfId="0" applyNumberFormat="1" applyFont="1" applyFill="1" applyBorder="1" applyAlignment="1">
      <alignment/>
    </xf>
    <xf numFmtId="10" fontId="0" fillId="33" borderId="10" xfId="0" applyNumberFormat="1" applyFill="1" applyBorder="1" applyAlignment="1">
      <alignment/>
    </xf>
    <xf numFmtId="0" fontId="0" fillId="0" borderId="0" xfId="0" applyAlignment="1">
      <alignment vertical="top" textRotation="90" wrapText="1"/>
    </xf>
    <xf numFmtId="0" fontId="0" fillId="0" borderId="32" xfId="0" applyBorder="1" applyAlignment="1">
      <alignment shrinkToFit="1"/>
    </xf>
    <xf numFmtId="0" fontId="0" fillId="0" borderId="3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0" fillId="0" borderId="36" xfId="0" applyBorder="1" applyAlignment="1">
      <alignment shrinkToFit="1"/>
    </xf>
    <xf numFmtId="3" fontId="0" fillId="0" borderId="35" xfId="0" applyNumberFormat="1" applyBorder="1" applyAlignment="1">
      <alignment/>
    </xf>
    <xf numFmtId="3" fontId="0" fillId="0" borderId="0" xfId="0" applyNumberFormat="1" applyBorder="1" applyAlignment="1">
      <alignment/>
    </xf>
    <xf numFmtId="3" fontId="0" fillId="0" borderId="36"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1" fontId="0" fillId="34" borderId="10" xfId="0" applyNumberFormat="1" applyFill="1" applyBorder="1" applyAlignment="1">
      <alignment/>
    </xf>
    <xf numFmtId="1" fontId="0" fillId="33" borderId="39" xfId="0" applyNumberFormat="1" applyFill="1" applyBorder="1" applyAlignment="1">
      <alignment/>
    </xf>
    <xf numFmtId="1" fontId="0" fillId="33" borderId="40" xfId="0" applyNumberFormat="1" applyFill="1" applyBorder="1" applyAlignment="1">
      <alignment/>
    </xf>
    <xf numFmtId="1" fontId="0" fillId="33" borderId="41" xfId="0" applyNumberFormat="1" applyFill="1" applyBorder="1" applyAlignment="1">
      <alignment/>
    </xf>
    <xf numFmtId="3" fontId="2" fillId="38" borderId="28" xfId="0" applyNumberFormat="1" applyFont="1" applyFill="1" applyBorder="1" applyAlignment="1">
      <alignment/>
    </xf>
    <xf numFmtId="3" fontId="0" fillId="0" borderId="0" xfId="0" applyNumberFormat="1" applyAlignment="1">
      <alignment wrapText="1" shrinkToFit="1"/>
    </xf>
    <xf numFmtId="175" fontId="2" fillId="38" borderId="10" xfId="0" applyNumberFormat="1" applyFont="1" applyFill="1" applyBorder="1" applyAlignment="1">
      <alignment wrapText="1" shrinkToFit="1"/>
    </xf>
    <xf numFmtId="3" fontId="2" fillId="38" borderId="10" xfId="0" applyNumberFormat="1" applyFont="1" applyFill="1" applyBorder="1" applyAlignment="1">
      <alignment wrapText="1" shrinkToFit="1"/>
    </xf>
    <xf numFmtId="4" fontId="2" fillId="38" borderId="10" xfId="0" applyNumberFormat="1" applyFont="1" applyFill="1" applyBorder="1" applyAlignment="1">
      <alignment wrapText="1" shrinkToFit="1"/>
    </xf>
    <xf numFmtId="10" fontId="2" fillId="38" borderId="28" xfId="0" applyNumberFormat="1" applyFont="1" applyFill="1" applyBorder="1" applyAlignment="1">
      <alignment/>
    </xf>
    <xf numFmtId="178" fontId="0" fillId="0" borderId="0" xfId="0" applyNumberFormat="1" applyAlignment="1">
      <alignment/>
    </xf>
    <xf numFmtId="180" fontId="0" fillId="0" borderId="0" xfId="0" applyNumberFormat="1" applyAlignment="1">
      <alignment/>
    </xf>
    <xf numFmtId="164" fontId="0" fillId="0" borderId="0" xfId="0" applyNumberFormat="1" applyAlignment="1">
      <alignment/>
    </xf>
    <xf numFmtId="180" fontId="2" fillId="38" borderId="41" xfId="0" applyNumberFormat="1" applyFont="1" applyFill="1" applyBorder="1" applyAlignment="1">
      <alignment/>
    </xf>
    <xf numFmtId="180" fontId="2" fillId="38" borderId="10" xfId="0" applyNumberFormat="1" applyFont="1" applyFill="1" applyBorder="1" applyAlignment="1">
      <alignment wrapText="1" shrinkToFit="1"/>
    </xf>
    <xf numFmtId="180" fontId="2" fillId="38" borderId="10" xfId="0" applyNumberFormat="1" applyFont="1" applyFill="1" applyBorder="1" applyAlignment="1">
      <alignment/>
    </xf>
    <xf numFmtId="182" fontId="0" fillId="0" borderId="0" xfId="0" applyNumberFormat="1" applyAlignment="1">
      <alignment/>
    </xf>
    <xf numFmtId="182" fontId="0" fillId="35" borderId="10" xfId="0" applyNumberFormat="1" applyFill="1" applyBorder="1" applyAlignment="1">
      <alignment/>
    </xf>
    <xf numFmtId="0" fontId="2" fillId="35" borderId="10" xfId="0" applyFont="1" applyFill="1" applyBorder="1" applyAlignment="1">
      <alignment/>
    </xf>
    <xf numFmtId="0" fontId="2" fillId="0" borderId="0" xfId="0" applyFont="1" applyAlignment="1">
      <alignment textRotation="90" wrapText="1"/>
    </xf>
    <xf numFmtId="9" fontId="0" fillId="0" borderId="0" xfId="0" applyNumberFormat="1" applyAlignment="1">
      <alignment horizontal="right" wrapText="1"/>
    </xf>
    <xf numFmtId="3" fontId="0" fillId="35" borderId="10" xfId="0" applyNumberFormat="1" applyFill="1" applyBorder="1" applyAlignment="1">
      <alignment/>
    </xf>
    <xf numFmtId="175" fontId="0" fillId="35" borderId="10" xfId="0" applyNumberFormat="1" applyFill="1" applyBorder="1" applyAlignment="1">
      <alignment/>
    </xf>
    <xf numFmtId="175" fontId="0" fillId="33" borderId="10" xfId="0" applyNumberFormat="1" applyFill="1" applyBorder="1" applyAlignment="1">
      <alignment/>
    </xf>
    <xf numFmtId="9" fontId="0" fillId="35" borderId="10" xfId="0" applyNumberFormat="1" applyFill="1" applyBorder="1" applyAlignment="1">
      <alignment/>
    </xf>
    <xf numFmtId="170" fontId="0" fillId="33" borderId="10" xfId="0" applyNumberFormat="1" applyFill="1" applyBorder="1" applyAlignment="1">
      <alignment/>
    </xf>
    <xf numFmtId="8" fontId="0" fillId="33" borderId="10" xfId="0" applyNumberFormat="1" applyFill="1" applyBorder="1" applyAlignment="1">
      <alignment/>
    </xf>
    <xf numFmtId="8" fontId="0" fillId="0" borderId="0" xfId="0" applyNumberFormat="1" applyAlignment="1">
      <alignment/>
    </xf>
    <xf numFmtId="175" fontId="2" fillId="33" borderId="10" xfId="0" applyNumberFormat="1" applyFont="1" applyFill="1" applyBorder="1" applyAlignment="1">
      <alignment/>
    </xf>
    <xf numFmtId="6" fontId="0" fillId="33" borderId="10" xfId="0" applyNumberFormat="1" applyFill="1" applyBorder="1" applyAlignment="1">
      <alignment/>
    </xf>
    <xf numFmtId="4" fontId="0" fillId="37" borderId="22" xfId="0" applyNumberFormat="1" applyFill="1" applyBorder="1" applyAlignment="1">
      <alignment/>
    </xf>
    <xf numFmtId="9" fontId="0" fillId="37" borderId="22" xfId="0" applyNumberFormat="1" applyFill="1" applyBorder="1" applyAlignment="1">
      <alignment/>
    </xf>
    <xf numFmtId="0" fontId="0" fillId="39" borderId="10" xfId="0" applyFill="1" applyBorder="1" applyAlignment="1">
      <alignment/>
    </xf>
    <xf numFmtId="171" fontId="2" fillId="38" borderId="17" xfId="0" applyNumberFormat="1" applyFont="1" applyFill="1" applyBorder="1" applyAlignment="1">
      <alignment/>
    </xf>
    <xf numFmtId="0" fontId="0" fillId="0" borderId="38" xfId="0" applyBorder="1" applyAlignment="1">
      <alignment/>
    </xf>
    <xf numFmtId="4" fontId="0" fillId="37" borderId="22" xfId="0" applyNumberFormat="1" applyFill="1" applyBorder="1" applyAlignment="1">
      <alignment wrapText="1"/>
    </xf>
    <xf numFmtId="171" fontId="0" fillId="33" borderId="10" xfId="0" applyNumberFormat="1" applyFill="1" applyBorder="1" applyAlignment="1">
      <alignment/>
    </xf>
    <xf numFmtId="0" fontId="4" fillId="0" borderId="0" xfId="0" applyFont="1" applyAlignment="1">
      <alignment/>
    </xf>
    <xf numFmtId="0" fontId="0" fillId="37" borderId="24" xfId="0" applyFill="1" applyBorder="1" applyAlignment="1">
      <alignment horizontal="center"/>
    </xf>
    <xf numFmtId="0" fontId="0" fillId="33" borderId="41" xfId="0" applyFill="1" applyBorder="1" applyAlignment="1">
      <alignment/>
    </xf>
    <xf numFmtId="0" fontId="0" fillId="0" borderId="32" xfId="0" applyBorder="1" applyAlignment="1">
      <alignment/>
    </xf>
    <xf numFmtId="0" fontId="0" fillId="0" borderId="33" xfId="0" applyBorder="1" applyAlignment="1">
      <alignment/>
    </xf>
    <xf numFmtId="0" fontId="0" fillId="0" borderId="33" xfId="0" applyBorder="1" applyAlignment="1">
      <alignment horizontal="left" vertical="top" wrapText="1"/>
    </xf>
    <xf numFmtId="0" fontId="0" fillId="0" borderId="34" xfId="0" applyBorder="1" applyAlignment="1">
      <alignment/>
    </xf>
    <xf numFmtId="0" fontId="4" fillId="0" borderId="35" xfId="0" applyFont="1" applyBorder="1" applyAlignment="1">
      <alignment/>
    </xf>
    <xf numFmtId="0" fontId="0" fillId="0" borderId="36" xfId="0" applyBorder="1" applyAlignment="1">
      <alignment/>
    </xf>
    <xf numFmtId="0" fontId="0" fillId="0" borderId="35" xfId="0" applyBorder="1" applyAlignment="1">
      <alignment/>
    </xf>
    <xf numFmtId="0" fontId="0" fillId="0" borderId="0" xfId="0" applyBorder="1" applyAlignment="1">
      <alignment wrapText="1" shrinkToFit="1"/>
    </xf>
    <xf numFmtId="0" fontId="0" fillId="0" borderId="0" xfId="0" applyBorder="1" applyAlignment="1">
      <alignment wrapText="1"/>
    </xf>
    <xf numFmtId="2" fontId="0" fillId="0" borderId="0" xfId="0" applyNumberFormat="1" applyBorder="1" applyAlignment="1">
      <alignment/>
    </xf>
    <xf numFmtId="4" fontId="0" fillId="0" borderId="0" xfId="0" applyNumberFormat="1" applyBorder="1" applyAlignment="1">
      <alignment/>
    </xf>
    <xf numFmtId="170" fontId="0" fillId="0" borderId="0" xfId="0" applyNumberFormat="1" applyBorder="1" applyAlignment="1">
      <alignment/>
    </xf>
    <xf numFmtId="0" fontId="2" fillId="0" borderId="0" xfId="0" applyFont="1" applyBorder="1" applyAlignment="1">
      <alignment/>
    </xf>
    <xf numFmtId="2" fontId="2" fillId="0" borderId="0" xfId="0" applyNumberFormat="1" applyFont="1" applyBorder="1" applyAlignment="1">
      <alignment/>
    </xf>
    <xf numFmtId="3" fontId="2" fillId="0" borderId="0" xfId="0" applyNumberFormat="1" applyFont="1" applyBorder="1" applyAlignment="1">
      <alignment/>
    </xf>
    <xf numFmtId="175" fontId="2" fillId="0" borderId="0" xfId="0" applyNumberFormat="1" applyFont="1" applyBorder="1" applyAlignment="1">
      <alignment/>
    </xf>
    <xf numFmtId="4" fontId="0" fillId="37" borderId="42" xfId="0" applyNumberFormat="1" applyFill="1" applyBorder="1" applyAlignment="1">
      <alignment/>
    </xf>
    <xf numFmtId="170" fontId="2" fillId="0" borderId="0" xfId="0" applyNumberFormat="1" applyFont="1" applyBorder="1" applyAlignment="1">
      <alignment/>
    </xf>
    <xf numFmtId="0" fontId="0" fillId="0" borderId="37" xfId="0" applyBorder="1" applyAlignment="1">
      <alignment/>
    </xf>
    <xf numFmtId="0" fontId="2" fillId="0" borderId="38" xfId="0" applyFont="1" applyBorder="1" applyAlignment="1">
      <alignment/>
    </xf>
    <xf numFmtId="2" fontId="0" fillId="0" borderId="38" xfId="0" applyNumberFormat="1" applyBorder="1" applyAlignment="1">
      <alignment/>
    </xf>
    <xf numFmtId="0" fontId="0" fillId="0" borderId="43" xfId="0" applyBorder="1" applyAlignment="1">
      <alignment/>
    </xf>
    <xf numFmtId="2" fontId="2" fillId="0" borderId="44" xfId="0" applyNumberFormat="1" applyFont="1" applyBorder="1" applyAlignment="1">
      <alignment/>
    </xf>
    <xf numFmtId="0" fontId="7" fillId="0" borderId="0" xfId="0" applyFont="1" applyAlignment="1">
      <alignment/>
    </xf>
    <xf numFmtId="170" fontId="0" fillId="33" borderId="39" xfId="0" applyNumberFormat="1" applyFill="1" applyBorder="1" applyAlignment="1">
      <alignment/>
    </xf>
    <xf numFmtId="0" fontId="0" fillId="33" borderId="34" xfId="0" applyFill="1" applyBorder="1" applyAlignment="1">
      <alignment/>
    </xf>
    <xf numFmtId="0" fontId="0" fillId="33" borderId="35" xfId="0" applyFill="1" applyBorder="1" applyAlignment="1">
      <alignment/>
    </xf>
    <xf numFmtId="9" fontId="0" fillId="33" borderId="36" xfId="0" applyNumberFormat="1" applyFill="1" applyBorder="1" applyAlignment="1">
      <alignment/>
    </xf>
    <xf numFmtId="0" fontId="0" fillId="33" borderId="37" xfId="0" applyFill="1" applyBorder="1" applyAlignment="1">
      <alignment/>
    </xf>
    <xf numFmtId="9" fontId="0" fillId="33" borderId="43" xfId="0" applyNumberFormat="1" applyFill="1" applyBorder="1" applyAlignment="1">
      <alignment/>
    </xf>
    <xf numFmtId="175" fontId="0" fillId="33" borderId="17" xfId="0" applyNumberFormat="1" applyFill="1" applyBorder="1" applyAlignment="1">
      <alignment/>
    </xf>
    <xf numFmtId="170" fontId="2" fillId="0" borderId="44" xfId="0" applyNumberFormat="1" applyFont="1" applyBorder="1" applyAlignment="1">
      <alignment/>
    </xf>
    <xf numFmtId="165" fontId="0" fillId="35" borderId="10" xfId="0" applyNumberFormat="1" applyFill="1" applyBorder="1" applyAlignment="1">
      <alignment/>
    </xf>
    <xf numFmtId="0" fontId="0" fillId="35" borderId="21" xfId="0" applyFill="1" applyBorder="1" applyAlignment="1">
      <alignment/>
    </xf>
    <xf numFmtId="0" fontId="0" fillId="33" borderId="21" xfId="0" applyFill="1" applyBorder="1" applyAlignment="1">
      <alignment/>
    </xf>
    <xf numFmtId="0" fontId="2" fillId="0" borderId="0" xfId="0" applyFont="1" applyAlignment="1">
      <alignment/>
    </xf>
    <xf numFmtId="175" fontId="0" fillId="37" borderId="45" xfId="0" applyNumberFormat="1" applyFill="1" applyBorder="1" applyAlignment="1">
      <alignment/>
    </xf>
    <xf numFmtId="175" fontId="2" fillId="37" borderId="45" xfId="0" applyNumberFormat="1" applyFont="1" applyFill="1" applyBorder="1" applyAlignment="1">
      <alignment/>
    </xf>
    <xf numFmtId="175" fontId="0" fillId="0" borderId="0" xfId="0" applyNumberFormat="1" applyAlignment="1">
      <alignment/>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7" fillId="38" borderId="32" xfId="0" applyFont="1" applyFill="1" applyBorder="1" applyAlignment="1">
      <alignment vertical="center"/>
    </xf>
    <xf numFmtId="0" fontId="7" fillId="38" borderId="33" xfId="0" applyFont="1" applyFill="1" applyBorder="1" applyAlignment="1">
      <alignment vertical="center"/>
    </xf>
    <xf numFmtId="0" fontId="7" fillId="38" borderId="34" xfId="0" applyFont="1" applyFill="1" applyBorder="1" applyAlignment="1">
      <alignment vertical="center"/>
    </xf>
    <xf numFmtId="0" fontId="7" fillId="38" borderId="35" xfId="0" applyFont="1" applyFill="1" applyBorder="1" applyAlignment="1">
      <alignment vertical="center"/>
    </xf>
    <xf numFmtId="0" fontId="7" fillId="38" borderId="0" xfId="0" applyFont="1" applyFill="1" applyBorder="1" applyAlignment="1">
      <alignment vertical="center"/>
    </xf>
    <xf numFmtId="0" fontId="7" fillId="38" borderId="36" xfId="0" applyFont="1" applyFill="1" applyBorder="1" applyAlignment="1">
      <alignment vertical="center"/>
    </xf>
    <xf numFmtId="0" fontId="7" fillId="38" borderId="37" xfId="0" applyFont="1" applyFill="1" applyBorder="1" applyAlignment="1">
      <alignment vertical="center"/>
    </xf>
    <xf numFmtId="0" fontId="7" fillId="38" borderId="38" xfId="0" applyFont="1" applyFill="1" applyBorder="1" applyAlignment="1">
      <alignment vertical="center"/>
    </xf>
    <xf numFmtId="0" fontId="7" fillId="38" borderId="43" xfId="0" applyFont="1" applyFill="1" applyBorder="1" applyAlignment="1">
      <alignment vertical="center"/>
    </xf>
    <xf numFmtId="0" fontId="2" fillId="33" borderId="39" xfId="0" applyFont="1" applyFill="1" applyBorder="1" applyAlignment="1">
      <alignment/>
    </xf>
    <xf numFmtId="0" fontId="2" fillId="33" borderId="41" xfId="0" applyFont="1" applyFill="1" applyBorder="1" applyAlignment="1">
      <alignment/>
    </xf>
    <xf numFmtId="0" fontId="0" fillId="33" borderId="40" xfId="0" applyFill="1" applyBorder="1" applyAlignment="1">
      <alignment shrinkToFit="1"/>
    </xf>
    <xf numFmtId="0" fontId="0" fillId="33" borderId="41" xfId="0" applyFill="1" applyBorder="1" applyAlignment="1">
      <alignment shrinkToFit="1"/>
    </xf>
    <xf numFmtId="0" fontId="0" fillId="0" borderId="0" xfId="0" applyAlignment="1">
      <alignment wrapText="1"/>
    </xf>
    <xf numFmtId="0" fontId="0" fillId="0" borderId="38" xfId="0" applyBorder="1" applyAlignment="1">
      <alignment wrapText="1"/>
    </xf>
    <xf numFmtId="0" fontId="0" fillId="33" borderId="40" xfId="0" applyFill="1" applyBorder="1" applyAlignment="1">
      <alignment/>
    </xf>
    <xf numFmtId="0" fontId="0" fillId="33" borderId="41" xfId="0" applyFill="1" applyBorder="1" applyAlignment="1">
      <alignment/>
    </xf>
    <xf numFmtId="0" fontId="0" fillId="33" borderId="39" xfId="0" applyFill="1" applyBorder="1" applyAlignment="1">
      <alignment shrinkToFit="1"/>
    </xf>
    <xf numFmtId="0" fontId="0" fillId="33" borderId="39" xfId="0" applyFill="1" applyBorder="1" applyAlignment="1">
      <alignment/>
    </xf>
    <xf numFmtId="0" fontId="4" fillId="38" borderId="32" xfId="0" applyFont="1" applyFill="1" applyBorder="1" applyAlignment="1">
      <alignment horizontal="center" vertical="center"/>
    </xf>
    <xf numFmtId="0" fontId="4" fillId="38" borderId="33" xfId="0" applyFont="1" applyFill="1" applyBorder="1" applyAlignment="1">
      <alignment horizontal="center" vertical="center"/>
    </xf>
    <xf numFmtId="0" fontId="4" fillId="38" borderId="34" xfId="0" applyFont="1" applyFill="1" applyBorder="1" applyAlignment="1">
      <alignment horizontal="center" vertical="center"/>
    </xf>
    <xf numFmtId="0" fontId="4" fillId="38" borderId="37" xfId="0" applyFont="1" applyFill="1" applyBorder="1" applyAlignment="1">
      <alignment horizontal="center" vertical="center"/>
    </xf>
    <xf numFmtId="0" fontId="4" fillId="38" borderId="38" xfId="0" applyFont="1" applyFill="1" applyBorder="1" applyAlignment="1">
      <alignment horizontal="center" vertical="center"/>
    </xf>
    <xf numFmtId="0" fontId="4" fillId="38" borderId="43" xfId="0" applyFont="1" applyFill="1" applyBorder="1" applyAlignment="1">
      <alignment horizontal="center" vertical="center"/>
    </xf>
    <xf numFmtId="0" fontId="0" fillId="0" borderId="0" xfId="0" applyAlignment="1">
      <alignment horizont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38" xfId="0" applyBorder="1" applyAlignment="1">
      <alignment/>
    </xf>
    <xf numFmtId="0" fontId="4" fillId="38" borderId="32" xfId="0" applyFont="1" applyFill="1" applyBorder="1" applyAlignment="1">
      <alignment horizontal="left" vertical="center"/>
    </xf>
    <xf numFmtId="0" fontId="4" fillId="38" borderId="33" xfId="0" applyFont="1" applyFill="1" applyBorder="1" applyAlignment="1">
      <alignment horizontal="left" vertical="center"/>
    </xf>
    <xf numFmtId="0" fontId="4" fillId="38" borderId="34" xfId="0" applyFont="1" applyFill="1" applyBorder="1" applyAlignment="1">
      <alignment horizontal="left" vertical="center"/>
    </xf>
    <xf numFmtId="0" fontId="4" fillId="38" borderId="37" xfId="0" applyFont="1" applyFill="1" applyBorder="1" applyAlignment="1">
      <alignment horizontal="left" vertical="center"/>
    </xf>
    <xf numFmtId="0" fontId="4" fillId="38" borderId="38" xfId="0" applyFont="1" applyFill="1" applyBorder="1" applyAlignment="1">
      <alignment horizontal="left" vertical="center"/>
    </xf>
    <xf numFmtId="0" fontId="4" fillId="38" borderId="43" xfId="0" applyFont="1" applyFill="1" applyBorder="1" applyAlignment="1">
      <alignment horizontal="left" vertical="center"/>
    </xf>
    <xf numFmtId="0" fontId="2" fillId="38" borderId="32" xfId="0" applyFont="1" applyFill="1" applyBorder="1" applyAlignment="1">
      <alignment horizontal="left" vertical="center"/>
    </xf>
    <xf numFmtId="0" fontId="2" fillId="38" borderId="33" xfId="0" applyFont="1" applyFill="1" applyBorder="1" applyAlignment="1">
      <alignment horizontal="left" vertical="center"/>
    </xf>
    <xf numFmtId="0" fontId="2" fillId="38" borderId="34" xfId="0" applyFont="1" applyFill="1" applyBorder="1" applyAlignment="1">
      <alignment horizontal="left" vertical="center"/>
    </xf>
    <xf numFmtId="0" fontId="2" fillId="38" borderId="37" xfId="0" applyFont="1" applyFill="1" applyBorder="1" applyAlignment="1">
      <alignment horizontal="left" vertical="center"/>
    </xf>
    <xf numFmtId="0" fontId="2" fillId="38" borderId="38" xfId="0" applyFont="1" applyFill="1" applyBorder="1" applyAlignment="1">
      <alignment horizontal="left" vertical="center"/>
    </xf>
    <xf numFmtId="0" fontId="2" fillId="38" borderId="43" xfId="0" applyFont="1" applyFill="1" applyBorder="1" applyAlignment="1">
      <alignment horizontal="left" vertical="center"/>
    </xf>
    <xf numFmtId="0" fontId="0" fillId="0" borderId="41" xfId="0" applyBorder="1" applyAlignment="1">
      <alignment/>
    </xf>
    <xf numFmtId="0" fontId="0" fillId="33" borderId="10" xfId="0" applyFill="1" applyBorder="1" applyAlignment="1">
      <alignment shrinkToFit="1"/>
    </xf>
    <xf numFmtId="0" fontId="4" fillId="38" borderId="4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4" fillId="38" borderId="49" xfId="0" applyFont="1" applyFill="1" applyBorder="1" applyAlignment="1">
      <alignment horizontal="center" vertical="center"/>
    </xf>
    <xf numFmtId="0" fontId="4" fillId="38" borderId="50" xfId="0" applyFont="1" applyFill="1" applyBorder="1" applyAlignment="1">
      <alignment horizontal="center" vertical="center"/>
    </xf>
    <xf numFmtId="0" fontId="4" fillId="38" borderId="51" xfId="0" applyFont="1" applyFill="1" applyBorder="1" applyAlignment="1">
      <alignment horizontal="center" vertical="center"/>
    </xf>
    <xf numFmtId="3" fontId="0" fillId="0" borderId="0" xfId="0" applyNumberFormat="1" applyAlignment="1">
      <alignment horizontal="center"/>
    </xf>
    <xf numFmtId="0" fontId="0" fillId="33" borderId="17" xfId="0" applyFill="1" applyBorder="1" applyAlignment="1">
      <alignment shrinkToFit="1"/>
    </xf>
    <xf numFmtId="0" fontId="0" fillId="0" borderId="47" xfId="0" applyFill="1" applyBorder="1" applyAlignment="1">
      <alignment wrapText="1"/>
    </xf>
    <xf numFmtId="0" fontId="0" fillId="0" borderId="38" xfId="0" applyFill="1" applyBorder="1" applyAlignment="1">
      <alignment wrapText="1"/>
    </xf>
    <xf numFmtId="0" fontId="5" fillId="0" borderId="47" xfId="0" applyFont="1" applyFill="1" applyBorder="1" applyAlignment="1">
      <alignment wrapText="1" shrinkToFit="1"/>
    </xf>
    <xf numFmtId="0" fontId="5" fillId="0" borderId="38" xfId="0" applyFont="1" applyFill="1" applyBorder="1" applyAlignment="1">
      <alignment wrapText="1" shrinkToFit="1"/>
    </xf>
    <xf numFmtId="0" fontId="1" fillId="0" borderId="47" xfId="0" applyFont="1" applyBorder="1" applyAlignment="1">
      <alignment wrapText="1"/>
    </xf>
    <xf numFmtId="0" fontId="1" fillId="0" borderId="38"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ill>
        <patternFill>
          <bgColor indexed="10"/>
        </patternFill>
      </fill>
    </dxf>
    <dxf>
      <fill>
        <patternFill>
          <bgColor indexed="10"/>
        </patternFill>
      </fill>
    </dxf>
    <dxf>
      <font>
        <b/>
        <i val="0"/>
      </font>
      <fill>
        <patternFill>
          <bgColor indexed="53"/>
        </patternFill>
      </fill>
      <border>
        <left style="thin"/>
        <right style="thin"/>
        <top style="thin"/>
        <bottom style="thin"/>
      </border>
    </dxf>
    <dxf>
      <fill>
        <patternFill>
          <bgColor indexed="10"/>
        </patternFill>
      </fill>
    </dxf>
    <dxf>
      <font>
        <b/>
        <i val="0"/>
      </font>
      <fill>
        <patternFill>
          <bgColor indexed="53"/>
        </patternFill>
      </fill>
      <border>
        <left style="thin"/>
        <right style="thin"/>
        <top style="thin"/>
        <bottom style="thin"/>
      </border>
    </dxf>
    <dxf>
      <fill>
        <patternFill>
          <bgColor indexed="15"/>
        </patternFill>
      </fill>
    </dxf>
    <dxf>
      <fill>
        <patternFill>
          <bgColor indexed="15"/>
        </patternFill>
      </fill>
    </dxf>
    <dxf>
      <font>
        <b val="0"/>
        <i/>
      </font>
      <fill>
        <patternFill>
          <bgColor indexed="13"/>
        </patternFill>
      </fill>
    </dxf>
    <dxf>
      <fill>
        <patternFill>
          <bgColor indexed="10"/>
        </patternFill>
      </fill>
    </dxf>
    <dxf>
      <font>
        <b/>
        <i val="0"/>
      </font>
      <fill>
        <patternFill>
          <bgColor indexed="53"/>
        </patternFill>
      </fill>
      <border>
        <left style="thin"/>
        <right style="thin"/>
        <top style="thin"/>
        <bottom style="thin"/>
      </border>
    </dxf>
    <dxf>
      <fill>
        <patternFill>
          <bgColor indexed="10"/>
        </patternFill>
      </fill>
    </dxf>
    <dxf>
      <font>
        <b/>
        <i val="0"/>
      </font>
      <fill>
        <patternFill>
          <bgColor indexed="53"/>
        </patternFill>
      </fill>
      <border>
        <left style="thin"/>
        <right style="thin"/>
        <top style="thin"/>
        <bottom style="thin"/>
      </border>
    </dxf>
    <dxf>
      <font>
        <b/>
        <i val="0"/>
      </font>
      <fill>
        <patternFill>
          <bgColor rgb="FFFF66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TRACK PROFILE</a:t>
            </a:r>
          </a:p>
        </c:rich>
      </c:tx>
      <c:layout>
        <c:manualLayout>
          <c:xMode val="factor"/>
          <c:yMode val="factor"/>
          <c:x val="-0.0015"/>
          <c:y val="0.04525"/>
        </c:manualLayout>
      </c:layout>
      <c:spPr>
        <a:noFill/>
        <a:ln>
          <a:noFill/>
        </a:ln>
      </c:spPr>
    </c:title>
    <c:plotArea>
      <c:layout>
        <c:manualLayout>
          <c:xMode val="edge"/>
          <c:yMode val="edge"/>
          <c:x val="0.0275"/>
          <c:y val="0.12875"/>
          <c:w val="0.96525"/>
          <c:h val="0.78325"/>
        </c:manualLayout>
      </c:layout>
      <c:lineChart>
        <c:grouping val="standard"/>
        <c:varyColors val="0"/>
        <c:ser>
          <c:idx val="0"/>
          <c:order val="0"/>
          <c:tx>
            <c:strRef>
              <c:f>Sheet4!$G$7</c:f>
              <c:strCache>
                <c:ptCount val="1"/>
                <c:pt idx="0">
                  <c:v>Altitude (feet)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Sheet4!$F$10:$F$373</c:f>
              <c:numCache/>
            </c:numRef>
          </c:cat>
          <c:val>
            <c:numRef>
              <c:f>Sheet4!$G$9:$G$373</c:f>
              <c:numCache/>
            </c:numRef>
          </c:val>
          <c:smooth val="0"/>
        </c:ser>
        <c:marker val="1"/>
        <c:axId val="53693550"/>
        <c:axId val="13479903"/>
      </c:lineChart>
      <c:catAx>
        <c:axId val="53693550"/>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Distance (Miles)</a:t>
                </a:r>
              </a:p>
            </c:rich>
          </c:tx>
          <c:layout>
            <c:manualLayout>
              <c:xMode val="factor"/>
              <c:yMode val="factor"/>
              <c:x val="-0.024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50" b="0" i="0" u="none" baseline="0">
                <a:solidFill>
                  <a:srgbClr val="000000"/>
                </a:solidFill>
                <a:latin typeface="Arial"/>
                <a:ea typeface="Arial"/>
                <a:cs typeface="Arial"/>
              </a:defRPr>
            </a:pPr>
          </a:p>
        </c:txPr>
        <c:crossAx val="13479903"/>
        <c:crosses val="autoZero"/>
        <c:auto val="1"/>
        <c:lblOffset val="100"/>
        <c:tickLblSkip val="8"/>
        <c:noMultiLvlLbl val="0"/>
      </c:catAx>
      <c:valAx>
        <c:axId val="13479903"/>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Altitude (Feet)</a:t>
                </a:r>
              </a:p>
            </c:rich>
          </c:tx>
          <c:layout>
            <c:manualLayout>
              <c:xMode val="factor"/>
              <c:yMode val="factor"/>
              <c:x val="-0.0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935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FUEL USE (gal/mile)</a:t>
            </a:r>
          </a:p>
        </c:rich>
      </c:tx>
      <c:layout>
        <c:manualLayout>
          <c:xMode val="factor"/>
          <c:yMode val="factor"/>
          <c:x val="0.00075"/>
          <c:y val="0.037"/>
        </c:manualLayout>
      </c:layout>
      <c:spPr>
        <a:noFill/>
        <a:ln>
          <a:noFill/>
        </a:ln>
      </c:spPr>
    </c:title>
    <c:plotArea>
      <c:layout>
        <c:manualLayout>
          <c:xMode val="edge"/>
          <c:yMode val="edge"/>
          <c:x val="0.024"/>
          <c:y val="0.17175"/>
          <c:w val="0.96875"/>
          <c:h val="0.71375"/>
        </c:manualLayout>
      </c:layout>
      <c:barChart>
        <c:barDir val="col"/>
        <c:grouping val="clustered"/>
        <c:varyColors val="0"/>
        <c:ser>
          <c:idx val="0"/>
          <c:order val="0"/>
          <c:tx>
            <c:v>Fue Use (gal/mile)</c:v>
          </c:tx>
          <c:spPr>
            <a:solidFill>
              <a:srgbClr val="FF0000"/>
            </a:solidFill>
            <a:ln w="381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Sheet4!$F$10:$F$373</c:f>
              <c:numCache/>
            </c:numRef>
          </c:cat>
          <c:val>
            <c:numRef>
              <c:f>Sheet4!$S$10:$S$373</c:f>
              <c:numCache/>
            </c:numRef>
          </c:val>
        </c:ser>
        <c:axId val="54210264"/>
        <c:axId val="18130329"/>
      </c:barChart>
      <c:catAx>
        <c:axId val="542102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Distance (miles)
</a:t>
                </a:r>
              </a:p>
            </c:rich>
          </c:tx>
          <c:layout>
            <c:manualLayout>
              <c:xMode val="factor"/>
              <c:yMode val="factor"/>
              <c:x val="0.003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130329"/>
        <c:crosses val="autoZero"/>
        <c:auto val="1"/>
        <c:lblOffset val="100"/>
        <c:tickLblSkip val="7"/>
        <c:noMultiLvlLbl val="0"/>
      </c:catAx>
      <c:valAx>
        <c:axId val="181303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Gallons</a:t>
                </a:r>
              </a:p>
            </c:rich>
          </c:tx>
          <c:layout>
            <c:manualLayout>
              <c:xMode val="factor"/>
              <c:yMode val="factor"/>
              <c:x val="-0.003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1026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Resistance vs. Tractive Effort</a:t>
            </a:r>
          </a:p>
        </c:rich>
      </c:tx>
      <c:layout>
        <c:manualLayout>
          <c:xMode val="factor"/>
          <c:yMode val="factor"/>
          <c:x val="-0.074"/>
          <c:y val="0.005"/>
        </c:manualLayout>
      </c:layout>
      <c:spPr>
        <a:noFill/>
        <a:ln>
          <a:noFill/>
        </a:ln>
      </c:spPr>
    </c:title>
    <c:plotArea>
      <c:layout>
        <c:manualLayout>
          <c:xMode val="edge"/>
          <c:yMode val="edge"/>
          <c:x val="0.0515"/>
          <c:y val="0.099"/>
          <c:w val="0.6485"/>
          <c:h val="0.85025"/>
        </c:manualLayout>
      </c:layout>
      <c:lineChart>
        <c:grouping val="standard"/>
        <c:varyColors val="0"/>
        <c:ser>
          <c:idx val="0"/>
          <c:order val="0"/>
          <c:tx>
            <c:v>Air Resistance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Sheet2!$C$61:$C$87</c:f>
              <c:numCache/>
            </c:numRef>
          </c:val>
          <c:smooth val="0"/>
        </c:ser>
        <c:ser>
          <c:idx val="1"/>
          <c:order val="1"/>
          <c:tx>
            <c:v>Journal Resistance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Sheet2!$D$61:$D$87</c:f>
              <c:numCache/>
            </c:numRef>
          </c:val>
          <c:smooth val="0"/>
        </c:ser>
        <c:ser>
          <c:idx val="2"/>
          <c:order val="2"/>
          <c:tx>
            <c:v>Flange Resistance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Sheet2!$E$61:$E$87</c:f>
              <c:numCache/>
            </c:numRef>
          </c:val>
          <c:smooth val="0"/>
        </c:ser>
        <c:ser>
          <c:idx val="3"/>
          <c:order val="3"/>
          <c:tx>
            <c:v>Grade</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Sheet2!$F$61:$F$87</c:f>
              <c:numCache/>
            </c:numRef>
          </c:val>
          <c:smooth val="0"/>
        </c:ser>
        <c:ser>
          <c:idx val="4"/>
          <c:order val="4"/>
          <c:tx>
            <c:v>Curvature</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Sheet2!$G$61:$G$87</c:f>
              <c:numCache/>
            </c:numRef>
          </c:val>
          <c:smooth val="0"/>
        </c:ser>
        <c:ser>
          <c:idx val="5"/>
          <c:order val="5"/>
          <c:tx>
            <c:v>Tractive Effort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Sheet2!$B$61:$B$87</c:f>
              <c:numCache/>
            </c:numRef>
          </c:cat>
          <c:val>
            <c:numRef>
              <c:f>Sheet2!$N$61:$N$87</c:f>
              <c:numCache/>
            </c:numRef>
          </c:val>
          <c:smooth val="0"/>
        </c:ser>
        <c:ser>
          <c:idx val="6"/>
          <c:order val="6"/>
          <c:tx>
            <c:v>Total Resistance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Sheet2!$H$61:$H$87</c:f>
              <c:numCache/>
            </c:numRef>
          </c:val>
          <c:smooth val="0"/>
        </c:ser>
        <c:marker val="1"/>
        <c:axId val="28955234"/>
        <c:axId val="59270515"/>
      </c:lineChart>
      <c:catAx>
        <c:axId val="2895523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MPH</a:t>
                </a:r>
              </a:p>
            </c:rich>
          </c:tx>
          <c:layout>
            <c:manualLayout>
              <c:xMode val="factor"/>
              <c:yMode val="factor"/>
              <c:x val="-0.007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9270515"/>
        <c:crosses val="autoZero"/>
        <c:auto val="1"/>
        <c:lblOffset val="100"/>
        <c:tickLblSkip val="2"/>
        <c:noMultiLvlLbl val="0"/>
      </c:catAx>
      <c:valAx>
        <c:axId val="5927051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lbs Resistance</a:t>
                </a:r>
              </a:p>
            </c:rich>
          </c:tx>
          <c:layout>
            <c:manualLayout>
              <c:xMode val="factor"/>
              <c:yMode val="factor"/>
              <c:x val="-0.041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55234"/>
        <c:crossesAt val="1"/>
        <c:crossBetween val="between"/>
        <c:dispUnits/>
      </c:valAx>
      <c:spPr>
        <a:solidFill>
          <a:srgbClr val="C0C0C0"/>
        </a:solidFill>
        <a:ln w="12700">
          <a:solidFill>
            <a:srgbClr val="808080"/>
          </a:solidFill>
        </a:ln>
      </c:spPr>
    </c:plotArea>
    <c:legend>
      <c:legendPos val="r"/>
      <c:layout>
        <c:manualLayout>
          <c:xMode val="edge"/>
          <c:yMode val="edge"/>
          <c:x val="0.7355"/>
          <c:y val="0.29325"/>
          <c:w val="0.21175"/>
          <c:h val="0.44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Horsepower Needed</a:t>
            </a:r>
          </a:p>
        </c:rich>
      </c:tx>
      <c:layout>
        <c:manualLayout>
          <c:xMode val="factor"/>
          <c:yMode val="factor"/>
          <c:x val="-0.0015"/>
          <c:y val="0.0425"/>
        </c:manualLayout>
      </c:layout>
      <c:spPr>
        <a:noFill/>
        <a:ln>
          <a:noFill/>
        </a:ln>
      </c:spPr>
    </c:title>
    <c:plotArea>
      <c:layout>
        <c:manualLayout>
          <c:xMode val="edge"/>
          <c:yMode val="edge"/>
          <c:x val="0.021"/>
          <c:y val="0.176"/>
          <c:w val="0.976"/>
          <c:h val="0.7455"/>
        </c:manualLayout>
      </c:layout>
      <c:lineChart>
        <c:grouping val="standard"/>
        <c:varyColors val="0"/>
        <c:ser>
          <c:idx val="0"/>
          <c:order val="0"/>
          <c:tx>
            <c:v>Horsepower Needed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Sheet2!$B$61:$B$78</c:f>
              <c:numCache/>
            </c:numRef>
          </c:cat>
          <c:val>
            <c:numRef>
              <c:f>Sheet2!$O$61:$O$78</c:f>
              <c:numCache/>
            </c:numRef>
          </c:val>
          <c:smooth val="0"/>
        </c:ser>
        <c:marker val="1"/>
        <c:axId val="63672588"/>
        <c:axId val="36182381"/>
      </c:lineChart>
      <c:catAx>
        <c:axId val="6367258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Speed</a:t>
                </a:r>
              </a:p>
            </c:rich>
          </c:tx>
          <c:layout>
            <c:manualLayout>
              <c:xMode val="factor"/>
              <c:yMode val="factor"/>
              <c:x val="-0.01325"/>
              <c:y val="0.067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182381"/>
        <c:crosses val="autoZero"/>
        <c:auto val="1"/>
        <c:lblOffset val="100"/>
        <c:tickLblSkip val="1"/>
        <c:noMultiLvlLbl val="0"/>
      </c:catAx>
      <c:valAx>
        <c:axId val="3618238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Horsepower</a:t>
                </a:r>
              </a:p>
            </c:rich>
          </c:tx>
          <c:layout>
            <c:manualLayout>
              <c:xMode val="factor"/>
              <c:yMode val="factor"/>
              <c:x val="-0.009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672588"/>
        <c:crossesAt val="1"/>
        <c:crossBetween val="between"/>
        <c:dispUnits/>
      </c:valAx>
      <c:spPr>
        <a:solidFill>
          <a:srgbClr val="C0C0C0"/>
        </a:solidFill>
        <a:ln w="12700">
          <a:solidFill>
            <a:srgbClr val="808080"/>
          </a:solidFill>
        </a:ln>
      </c:spPr>
    </c:plotArea>
    <c:legend>
      <c:legendPos val="t"/>
      <c:layout>
        <c:manualLayout>
          <c:xMode val="edge"/>
          <c:yMode val="edge"/>
          <c:x val="0"/>
          <c:y val="0"/>
          <c:w val="0.2635"/>
          <c:h val="0.143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376</xdr:row>
      <xdr:rowOff>133350</xdr:rowOff>
    </xdr:from>
    <xdr:to>
      <xdr:col>26</xdr:col>
      <xdr:colOff>1085850</xdr:colOff>
      <xdr:row>403</xdr:row>
      <xdr:rowOff>66675</xdr:rowOff>
    </xdr:to>
    <xdr:graphicFrame>
      <xdr:nvGraphicFramePr>
        <xdr:cNvPr id="1" name="Chart 20"/>
        <xdr:cNvGraphicFramePr/>
      </xdr:nvGraphicFramePr>
      <xdr:xfrm>
        <a:off x="47625" y="62960250"/>
        <a:ext cx="13230225" cy="43053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398</xdr:row>
      <xdr:rowOff>85725</xdr:rowOff>
    </xdr:from>
    <xdr:to>
      <xdr:col>26</xdr:col>
      <xdr:colOff>1104900</xdr:colOff>
      <xdr:row>416</xdr:row>
      <xdr:rowOff>85725</xdr:rowOff>
    </xdr:to>
    <xdr:graphicFrame>
      <xdr:nvGraphicFramePr>
        <xdr:cNvPr id="2" name="Chart 21"/>
        <xdr:cNvGraphicFramePr/>
      </xdr:nvGraphicFramePr>
      <xdr:xfrm>
        <a:off x="123825" y="66474975"/>
        <a:ext cx="13173075"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11</xdr:row>
      <xdr:rowOff>19050</xdr:rowOff>
    </xdr:from>
    <xdr:to>
      <xdr:col>21</xdr:col>
      <xdr:colOff>447675</xdr:colOff>
      <xdr:row>58</xdr:row>
      <xdr:rowOff>0</xdr:rowOff>
    </xdr:to>
    <xdr:graphicFrame>
      <xdr:nvGraphicFramePr>
        <xdr:cNvPr id="1" name="Chart 1"/>
        <xdr:cNvGraphicFramePr/>
      </xdr:nvGraphicFramePr>
      <xdr:xfrm>
        <a:off x="7267575" y="1838325"/>
        <a:ext cx="7286625" cy="75914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12</xdr:row>
      <xdr:rowOff>19050</xdr:rowOff>
    </xdr:from>
    <xdr:to>
      <xdr:col>9</xdr:col>
      <xdr:colOff>419100</xdr:colOff>
      <xdr:row>30</xdr:row>
      <xdr:rowOff>104775</xdr:rowOff>
    </xdr:to>
    <xdr:graphicFrame>
      <xdr:nvGraphicFramePr>
        <xdr:cNvPr id="2" name="Chart 4"/>
        <xdr:cNvGraphicFramePr/>
      </xdr:nvGraphicFramePr>
      <xdr:xfrm>
        <a:off x="542925" y="2000250"/>
        <a:ext cx="6448425" cy="3000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2:BX131"/>
  <sheetViews>
    <sheetView tabSelected="1" zoomScalePageLayoutView="0" workbookViewId="0" topLeftCell="E1">
      <selection activeCell="K7" sqref="K7"/>
    </sheetView>
  </sheetViews>
  <sheetFormatPr defaultColWidth="9.140625" defaultRowHeight="12.75"/>
  <cols>
    <col min="1" max="1" width="0.42578125" style="0" customWidth="1"/>
    <col min="2" max="2" width="0.5625" style="0" customWidth="1"/>
    <col min="3" max="3" width="0.42578125" style="0" customWidth="1"/>
    <col min="4" max="4" width="5.421875" style="0" hidden="1" customWidth="1"/>
    <col min="5" max="5" width="29.140625" style="0" customWidth="1"/>
    <col min="6" max="6" width="16.7109375" style="0" customWidth="1"/>
    <col min="7" max="7" width="18.8515625" style="0" customWidth="1"/>
    <col min="8" max="8" width="13.140625" style="0" customWidth="1"/>
    <col min="9" max="9" width="12.28125" style="0" bestFit="1" customWidth="1"/>
    <col min="10" max="10" width="12.8515625" style="0" customWidth="1"/>
    <col min="11" max="11" width="11.28125" style="0" bestFit="1" customWidth="1"/>
    <col min="12" max="12" width="12.140625" style="0" customWidth="1"/>
    <col min="13" max="13" width="12.57421875" style="0" customWidth="1"/>
    <col min="14" max="14" width="10.421875" style="0" customWidth="1"/>
    <col min="15" max="15" width="8.00390625" style="0" customWidth="1"/>
    <col min="16" max="16" width="10.57421875" style="0" customWidth="1"/>
    <col min="17" max="17" width="10.140625" style="0" customWidth="1"/>
    <col min="18" max="18" width="12.28125" style="0" customWidth="1"/>
    <col min="20" max="20" width="10.00390625" style="0" customWidth="1"/>
    <col min="21" max="21" width="10.140625" style="0" customWidth="1"/>
    <col min="22" max="22" width="10.7109375" style="0" customWidth="1"/>
    <col min="23" max="23" width="10.28125" style="0" customWidth="1"/>
    <col min="24" max="24" width="10.140625" style="0" bestFit="1" customWidth="1"/>
    <col min="25" max="25" width="12.57421875" style="0" customWidth="1"/>
    <col min="26" max="26" width="16.00390625" style="0" customWidth="1"/>
    <col min="32" max="32" width="10.8515625" style="0" customWidth="1"/>
  </cols>
  <sheetData>
    <row r="2" spans="5:23" ht="12.75">
      <c r="E2" s="188" t="s">
        <v>257</v>
      </c>
      <c r="F2" s="189"/>
      <c r="G2" s="189"/>
      <c r="H2" s="189"/>
      <c r="I2" s="189"/>
      <c r="J2" s="189"/>
      <c r="K2" s="189"/>
      <c r="L2" s="189"/>
      <c r="M2" s="189"/>
      <c r="N2" s="189"/>
      <c r="O2" s="189"/>
      <c r="P2" s="189"/>
      <c r="Q2" s="189"/>
      <c r="R2" s="189"/>
      <c r="S2" s="189"/>
      <c r="T2" s="189"/>
      <c r="U2" s="189"/>
      <c r="V2" s="189"/>
      <c r="W2" s="190"/>
    </row>
    <row r="3" spans="5:23" ht="12.75">
      <c r="E3" s="191"/>
      <c r="F3" s="192"/>
      <c r="G3" s="192"/>
      <c r="H3" s="192"/>
      <c r="I3" s="192"/>
      <c r="J3" s="192"/>
      <c r="K3" s="192"/>
      <c r="L3" s="192"/>
      <c r="M3" s="192"/>
      <c r="N3" s="192"/>
      <c r="O3" s="192"/>
      <c r="P3" s="192"/>
      <c r="Q3" s="192"/>
      <c r="R3" s="192"/>
      <c r="S3" s="192"/>
      <c r="T3" s="192"/>
      <c r="U3" s="192"/>
      <c r="V3" s="192"/>
      <c r="W3" s="193"/>
    </row>
    <row r="4" spans="5:23" ht="12.75">
      <c r="E4" s="194"/>
      <c r="F4" s="195"/>
      <c r="G4" s="195"/>
      <c r="H4" s="195"/>
      <c r="I4" s="195"/>
      <c r="J4" s="195"/>
      <c r="K4" s="195"/>
      <c r="L4" s="195"/>
      <c r="M4" s="195"/>
      <c r="N4" s="195"/>
      <c r="O4" s="195"/>
      <c r="P4" s="195"/>
      <c r="Q4" s="195"/>
      <c r="R4" s="195"/>
      <c r="S4" s="195"/>
      <c r="T4" s="195"/>
      <c r="U4" s="195"/>
      <c r="V4" s="195"/>
      <c r="W4" s="196"/>
    </row>
    <row r="5" spans="15:16" ht="12.75">
      <c r="O5" s="68"/>
      <c r="P5" s="68"/>
    </row>
    <row r="6" spans="5:16" ht="18">
      <c r="E6" s="169" t="s">
        <v>262</v>
      </c>
      <c r="H6" s="65"/>
      <c r="J6" s="65"/>
      <c r="K6" s="65"/>
      <c r="O6" s="68"/>
      <c r="P6" s="68"/>
    </row>
    <row r="7" spans="5:24" ht="12.75">
      <c r="E7" s="146" t="s">
        <v>170</v>
      </c>
      <c r="F7" s="61">
        <v>1.3</v>
      </c>
      <c r="G7" s="147"/>
      <c r="H7" s="148"/>
      <c r="I7" s="147"/>
      <c r="J7" s="148"/>
      <c r="K7" s="148"/>
      <c r="L7" s="147"/>
      <c r="M7" s="147"/>
      <c r="N7" s="147"/>
      <c r="O7" s="147"/>
      <c r="P7" s="147"/>
      <c r="Q7" s="147"/>
      <c r="R7" s="147"/>
      <c r="S7" s="147"/>
      <c r="T7" s="147"/>
      <c r="U7" s="147"/>
      <c r="V7" s="147"/>
      <c r="W7" s="147"/>
      <c r="X7" s="149"/>
    </row>
    <row r="8" spans="5:76" ht="15.75">
      <c r="E8" s="150" t="s">
        <v>157</v>
      </c>
      <c r="F8" s="11" t="s">
        <v>227</v>
      </c>
      <c r="G8" s="11" t="s">
        <v>228</v>
      </c>
      <c r="H8" s="11" t="s">
        <v>220</v>
      </c>
      <c r="I8" s="11"/>
      <c r="J8" s="11"/>
      <c r="K8" s="11"/>
      <c r="L8" s="11"/>
      <c r="M8" s="185" t="s">
        <v>213</v>
      </c>
      <c r="N8" s="186"/>
      <c r="O8" s="186"/>
      <c r="P8" s="186"/>
      <c r="Q8" s="187"/>
      <c r="R8" s="11"/>
      <c r="S8" s="11"/>
      <c r="T8" s="11"/>
      <c r="U8" s="11"/>
      <c r="V8" s="11"/>
      <c r="W8" s="11"/>
      <c r="X8" s="151"/>
      <c r="Y8" s="4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5:76" ht="12.75">
      <c r="E9" s="152" t="s">
        <v>57</v>
      </c>
      <c r="F9" s="138" t="s">
        <v>38</v>
      </c>
      <c r="G9" s="138" t="str">
        <f>F9</f>
        <v>C. Hopper Car</v>
      </c>
      <c r="H9" s="6">
        <v>20</v>
      </c>
      <c r="I9" s="11"/>
      <c r="J9" s="11"/>
      <c r="K9" s="11"/>
      <c r="L9" s="11"/>
      <c r="M9" s="11"/>
      <c r="N9" s="11"/>
      <c r="O9" s="11"/>
      <c r="P9" s="11"/>
      <c r="Q9" s="11"/>
      <c r="R9" s="11"/>
      <c r="S9" s="11"/>
      <c r="T9" s="11"/>
      <c r="U9" s="11"/>
      <c r="V9" s="11"/>
      <c r="W9" s="11"/>
      <c r="X9" s="151"/>
      <c r="Y9" s="144"/>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5:76" ht="29.25" customHeight="1">
      <c r="E10" s="152" t="s">
        <v>215</v>
      </c>
      <c r="F10" s="6">
        <v>55</v>
      </c>
      <c r="G10" s="6">
        <f>F10</f>
        <v>55</v>
      </c>
      <c r="H10" s="153" t="s">
        <v>223</v>
      </c>
      <c r="I10" s="153" t="s">
        <v>224</v>
      </c>
      <c r="J10" s="10" t="s">
        <v>101</v>
      </c>
      <c r="K10" s="154" t="s">
        <v>113</v>
      </c>
      <c r="L10" s="154" t="s">
        <v>112</v>
      </c>
      <c r="M10" s="10" t="s">
        <v>222</v>
      </c>
      <c r="N10" s="153" t="s">
        <v>229</v>
      </c>
      <c r="O10" s="10" t="s">
        <v>103</v>
      </c>
      <c r="P10" s="10" t="s">
        <v>104</v>
      </c>
      <c r="Q10" s="10" t="s">
        <v>106</v>
      </c>
      <c r="R10" s="10" t="s">
        <v>170</v>
      </c>
      <c r="S10" s="153" t="s">
        <v>231</v>
      </c>
      <c r="T10" s="153" t="s">
        <v>232</v>
      </c>
      <c r="U10" s="153" t="s">
        <v>233</v>
      </c>
      <c r="V10" s="153" t="s">
        <v>224</v>
      </c>
      <c r="W10" s="153" t="s">
        <v>234</v>
      </c>
      <c r="X10" s="151"/>
      <c r="Y10" s="145" t="s">
        <v>57</v>
      </c>
      <c r="Z10" s="3"/>
      <c r="AA10" s="3" t="s">
        <v>62</v>
      </c>
      <c r="AB10" s="3" t="s">
        <v>63</v>
      </c>
      <c r="AC10" s="33" t="s">
        <v>52</v>
      </c>
      <c r="AD10" s="34" t="s">
        <v>58</v>
      </c>
      <c r="AE10" s="35" t="s">
        <v>59</v>
      </c>
      <c r="AF10" s="3" t="s">
        <v>13</v>
      </c>
      <c r="AI10" s="137"/>
      <c r="AJ10" s="137"/>
      <c r="AK10" s="58"/>
      <c r="AL10" s="46"/>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row>
    <row r="11" spans="5:76" ht="12.75">
      <c r="E11" s="152" t="s">
        <v>72</v>
      </c>
      <c r="F11" s="138" t="s">
        <v>42</v>
      </c>
      <c r="G11" s="138" t="s">
        <v>42</v>
      </c>
      <c r="H11" s="6">
        <v>5</v>
      </c>
      <c r="I11" s="22">
        <v>0.022</v>
      </c>
      <c r="J11" s="6">
        <v>20</v>
      </c>
      <c r="K11" s="11">
        <v>20</v>
      </c>
      <c r="L11" s="63">
        <f>IF(O11&lt;=P11,O11/N11*308,P11/N11*308)</f>
        <v>8.999031731901761</v>
      </c>
      <c r="M11" s="155">
        <f>J11/L11</f>
        <v>2.222461326489112</v>
      </c>
      <c r="N11" s="102">
        <f>SUM(S11:W11)</f>
        <v>513388.56641898485</v>
      </c>
      <c r="O11" s="102">
        <f>N11*K11/308</f>
        <v>33336.91989733667</v>
      </c>
      <c r="P11" s="102">
        <f>$F$12*(VLOOKUP($F$11,$Y$20:$AG$28,4,0))+IF(I11&gt;1.8%,$F$14*(VLOOKUP($F$13,$Y$20:$AG$28,4,0)),0)</f>
        <v>15000</v>
      </c>
      <c r="Q11" s="156">
        <f>$F$12*J11/K11*VLOOKUP($F$11,$Y$20:$AB$28,2,0)*O11/P11+$F$14*J11/K11*VLOOKUP($F$13,$Y$20:$AB$28,2,0)*O11/P11</f>
        <v>1863.53382226112</v>
      </c>
      <c r="R11" s="157">
        <f>Q11*$F$7</f>
        <v>2422.593968939456</v>
      </c>
      <c r="S11" s="102">
        <f>$F$12*((VLOOKUP($F$11,$Y$20:$AG$28,7,0)*VLOOKUP($F$11,$Y$20:$AG$28,5,0)*K11*K11)/(VLOOKUP($F$11,$Y$20:$AG$28,9,0)/VLOOKUP($F$11,$Y$20:$AG$28,8,0))/VLOOKUP($F$11,$Y$20:$AG$28,8,0))+((VLOOKUP($F$9,$Y$11:$AF$17,4,0)*VLOOKUP($F$9,$Y$11:$AF$17,5,0)*K11*K11)/(((VLOOKUP($F$9,$Y$11:$AF$17,7,0)/2000))/((VLOOKUP($F$9,$Y$11:$AF$17,8,0))))/VLOOKUP($F$9,$Y$11:$AF$17,8,0))*$F$17</f>
        <v>1741.437055559897</v>
      </c>
      <c r="T11" s="102">
        <f>$F$12*(1.3+0.29/((VLOOKUP($F$11,$Y$20:$AG$28,9,0))/VLOOKUP($F$11,$Y$20:$AG$28,8,0)))+(1.3+0.29/((VLOOKUP($F$9,$Y$11:$AF$17,7,0))/VLOOKUP($F$9,$Y$11:$AF$17,8,0)))*$F$17</f>
        <v>10826.463363425022</v>
      </c>
      <c r="U11" s="102">
        <f>$F$12*(VLOOKUP($F$11,$Y$20:$AG$28,6,0)*K11)+(VLOOKUP($F$9,$Y$11:$AF$17,3,0)*K11)*$F$17</f>
        <v>7494.299999999999</v>
      </c>
      <c r="V11" s="102">
        <f>$F$12*(20*I11*(VLOOKUP($F$11,$Y$20:$AG$28,9,0)))+(20*I11*(VLOOKUP($F$9,$Y$10:$AF$17,7,0)/2000))*$F$17</f>
        <v>491094.11999999994</v>
      </c>
      <c r="W11" s="102">
        <f>$F$12*(0.8*H11*(VLOOKUP($F$11,$Y$20:$AG$28,9,0))/2000)+(0.8*H11*((VLOOKUP($F$9,$Y$11:$AF$17,7,0))/2000/2000))*$F$17</f>
        <v>2232.246</v>
      </c>
      <c r="X11" s="151"/>
      <c r="Y11" s="199" t="s">
        <v>36</v>
      </c>
      <c r="Z11" s="200"/>
      <c r="AA11" s="4">
        <v>0.045</v>
      </c>
      <c r="AB11" s="4">
        <v>0.0005</v>
      </c>
      <c r="AC11" s="4">
        <v>100</v>
      </c>
      <c r="AD11" s="36">
        <v>45000</v>
      </c>
      <c r="AE11" s="36">
        <v>180000</v>
      </c>
      <c r="AF11" s="4">
        <v>4</v>
      </c>
      <c r="AI11" s="137"/>
      <c r="AJ11" s="137"/>
      <c r="AK11" s="46"/>
      <c r="AL11" s="46"/>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row>
    <row r="12" spans="5:76" ht="12.75">
      <c r="E12" s="152" t="s">
        <v>74</v>
      </c>
      <c r="F12" s="6">
        <v>3</v>
      </c>
      <c r="G12" s="6">
        <f>F12</f>
        <v>3</v>
      </c>
      <c r="H12" s="6">
        <v>1</v>
      </c>
      <c r="I12" s="22">
        <v>0.002</v>
      </c>
      <c r="J12" s="6">
        <v>309</v>
      </c>
      <c r="K12" s="11">
        <v>20</v>
      </c>
      <c r="L12" s="64">
        <f>IF(O12&lt;=P12,O12/N12*308,P12/N12*308)</f>
        <v>20.000000000000004</v>
      </c>
      <c r="M12" s="155">
        <f>J12/L12</f>
        <v>15.449999999999998</v>
      </c>
      <c r="N12" s="102">
        <f>SUM(S12:W12)</f>
        <v>65153.56961898492</v>
      </c>
      <c r="O12" s="102">
        <f>N12*K12/308</f>
        <v>4230.75127396006</v>
      </c>
      <c r="P12" s="102">
        <f>$F$12*(VLOOKUP($F$11,$Y$20:$AG$28,4,0))+IF(I12&gt;1.8%,$F$14*(VLOOKUP($F$13,$Y$20:$AG$28,4,0)),0)</f>
        <v>9000</v>
      </c>
      <c r="Q12" s="156">
        <f>$F$12*J12/K12*VLOOKUP($F$11,$Y$20:$AB$28,2,0)*O12/P12+$F$14*J12/K12*VLOOKUP($F$13,$Y$20:$AB$28,2,0)*O12/P12</f>
        <v>6089.849152519959</v>
      </c>
      <c r="R12" s="157">
        <f>Q12*$F$7</f>
        <v>7916.803898275946</v>
      </c>
      <c r="S12" s="102">
        <f>$F$12*((VLOOKUP($F$11,$Y$20:$AG$28,7,0)*VLOOKUP($F$11,$Y$20:$AG$28,5,0)*K12*K12)/(VLOOKUP($F$11,$Y$20:$AG$28,9,0)/VLOOKUP($F$11,$Y$20:$AG$28,8,0))/VLOOKUP($F$11,$Y$20:$AG$28,8,0))+((VLOOKUP($F$9,$Y$11:$AF$17,4,0)*VLOOKUP($F$9,$Y$11:$AF$17,5,0)*K12*K12)/(((VLOOKUP($F$9,$Y$11:$AF$17,7,0)/2000))/((VLOOKUP($F$9,$Y$11:$AF$17,8,0))))/VLOOKUP($F$9,$Y$11:$AF$17,8,0))*$F$17</f>
        <v>1741.437055559897</v>
      </c>
      <c r="T12" s="102">
        <f>$F$12*(1.3+0.29/((VLOOKUP($F$11,$Y$20:$AG$28,9,0))/VLOOKUP($F$11,$Y$20:$AG$28,8,0)))+(1.3+0.29/((VLOOKUP($F$9,$Y$11:$AF$17,7,0))/VLOOKUP($F$9,$Y$11:$AF$17,8,0)))*$F$17</f>
        <v>10826.463363425022</v>
      </c>
      <c r="U12" s="102">
        <f>$F$12*(VLOOKUP($F$11,$Y$20:$AG$28,6,0)*K12)+(VLOOKUP($F$9,$Y$11:$AF$17,3,0)*K12)*$F$17</f>
        <v>7494.299999999999</v>
      </c>
      <c r="V12" s="102">
        <f>$F$12*(20*I12*(VLOOKUP($F$11,$Y$20:$AG$28,9,0)))+(20*I12*(VLOOKUP($F$9,$Y$10:$AF$17,7,0)/2000))*$F$17</f>
        <v>44644.92</v>
      </c>
      <c r="W12" s="102">
        <f>$F$12*(0.8*H12*(VLOOKUP($F$11,$Y$20:$AG$28,9,0))/2000)+(0.8*H12*((VLOOKUP($F$9,$Y$11:$AF$17,7,0))/2000/2000))*$F$17</f>
        <v>446.4492000000001</v>
      </c>
      <c r="X12" s="151"/>
      <c r="Y12" s="199" t="s">
        <v>38</v>
      </c>
      <c r="Z12" s="200"/>
      <c r="AA12" s="4">
        <v>0.045</v>
      </c>
      <c r="AB12" s="4">
        <v>0.0005</v>
      </c>
      <c r="AC12" s="4">
        <v>140</v>
      </c>
      <c r="AD12" s="36">
        <v>67000</v>
      </c>
      <c r="AE12" s="36">
        <v>268000</v>
      </c>
      <c r="AF12" s="4">
        <v>4</v>
      </c>
      <c r="AI12" s="137"/>
      <c r="AJ12" s="137"/>
      <c r="AK12" s="46"/>
      <c r="AL12" s="46"/>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row>
    <row r="13" spans="5:76" ht="12.75">
      <c r="E13" s="152" t="s">
        <v>216</v>
      </c>
      <c r="F13" s="138" t="s">
        <v>42</v>
      </c>
      <c r="G13" s="138" t="s">
        <v>42</v>
      </c>
      <c r="H13" s="6">
        <v>0</v>
      </c>
      <c r="I13" s="22"/>
      <c r="J13" s="6"/>
      <c r="K13" s="11">
        <v>20</v>
      </c>
      <c r="L13" s="64">
        <f>IF(O13&lt;=P13,O13/N13*308,P13/N13*308)</f>
        <v>20.000000000000004</v>
      </c>
      <c r="M13" s="155">
        <f>J13/L13</f>
        <v>0</v>
      </c>
      <c r="N13" s="102">
        <f>SUM(S13:W13)</f>
        <v>20062.200418984918</v>
      </c>
      <c r="O13" s="102">
        <f>N13*K13/308</f>
        <v>1302.7402869470727</v>
      </c>
      <c r="P13" s="102">
        <f>$F$12*(VLOOKUP($F$11,$Y$20:$AG$28,4,0))+IF(I13&gt;1.8%,$F$14*(VLOOKUP($F$13,$Y$20:$AG$28,4,0)),0)</f>
        <v>9000</v>
      </c>
      <c r="Q13" s="156">
        <f>$F$12*J13/K13*VLOOKUP($F$11,$Y$20:$AB$28,2,0)*O13/P13+$F$14*J13/K13*VLOOKUP($F$13,$Y$20:$AB$28,2,0)*O13/P13</f>
        <v>0</v>
      </c>
      <c r="R13" s="157">
        <f>Q13*$F$7</f>
        <v>0</v>
      </c>
      <c r="S13" s="102">
        <f>$F$12*((VLOOKUP($F$11,$Y$20:$AG$28,7,0)*VLOOKUP($F$11,$Y$20:$AG$28,5,0)*K13*K13)/(VLOOKUP($F$11,$Y$20:$AG$28,9,0)/VLOOKUP($F$11,$Y$20:$AG$28,8,0))/VLOOKUP($F$11,$Y$20:$AG$28,8,0))+((VLOOKUP($F$9,$Y$11:$AF$17,4,0)*VLOOKUP($F$9,$Y$11:$AF$17,5,0)*K13*K13)/(((VLOOKUP($F$9,$Y$11:$AF$17,7,0)/2000))/((VLOOKUP($F$9,$Y$11:$AF$17,8,0))))/VLOOKUP($F$9,$Y$11:$AF$17,8,0))*$F$17</f>
        <v>1741.437055559897</v>
      </c>
      <c r="T13" s="102">
        <f>$F$12*(1.3+0.29/((VLOOKUP($F$11,$Y$20:$AG$28,9,0))/VLOOKUP($F$11,$Y$20:$AG$28,8,0)))+(1.3+0.29/((VLOOKUP($F$9,$Y$11:$AF$17,7,0))/VLOOKUP($F$9,$Y$11:$AF$17,8,0)))*$F$17</f>
        <v>10826.463363425022</v>
      </c>
      <c r="U13" s="102">
        <f>$F$12*(VLOOKUP($F$11,$Y$20:$AG$28,6,0)*K13)+(VLOOKUP($F$9,$Y$11:$AF$17,3,0)*K13)*$F$17</f>
        <v>7494.299999999999</v>
      </c>
      <c r="V13" s="102">
        <f>$F$12*(20*I13*(VLOOKUP($F$11,$Y$20:$AG$28,9,0)))+(20*I13*(VLOOKUP($F$9,$Y$10:$AF$17,7,0)/2000))*$F$17</f>
        <v>0</v>
      </c>
      <c r="W13" s="102">
        <f>$F$12*(0.8*H13*(VLOOKUP($F$11,$Y$20:$AG$28,9,0))/2000)+(0.8*H13*((VLOOKUP($F$9,$Y$11:$AF$17,7,0))/2000/2000))*$F$17</f>
        <v>0</v>
      </c>
      <c r="X13" s="151"/>
      <c r="Y13" s="199" t="s">
        <v>60</v>
      </c>
      <c r="Z13" s="200"/>
      <c r="AA13" s="4">
        <v>0.045</v>
      </c>
      <c r="AB13" s="4">
        <v>0.0005</v>
      </c>
      <c r="AC13" s="4">
        <v>140</v>
      </c>
      <c r="AD13" s="36">
        <v>71000</v>
      </c>
      <c r="AE13" s="36">
        <v>286000</v>
      </c>
      <c r="AF13" s="4">
        <v>4</v>
      </c>
      <c r="AI13" s="137"/>
      <c r="AJ13" s="137"/>
      <c r="AK13" s="46"/>
      <c r="AL13" s="46"/>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row>
    <row r="14" spans="5:76" ht="12.75">
      <c r="E14" s="152" t="s">
        <v>214</v>
      </c>
      <c r="F14" s="6">
        <v>2</v>
      </c>
      <c r="G14" s="6">
        <v>0</v>
      </c>
      <c r="H14" s="6">
        <v>0</v>
      </c>
      <c r="I14" s="22">
        <v>0</v>
      </c>
      <c r="J14" s="6">
        <v>0</v>
      </c>
      <c r="K14" s="11">
        <f>$H$9</f>
        <v>20</v>
      </c>
      <c r="L14" s="64">
        <f>IF(O14&lt;=P14,O14/N14*308,P14/N14*308)</f>
        <v>20.000000000000004</v>
      </c>
      <c r="M14" s="155">
        <f>J14/L14</f>
        <v>0</v>
      </c>
      <c r="N14" s="102">
        <f>SUM(S14:W14)</f>
        <v>20062.200418984918</v>
      </c>
      <c r="O14" s="102">
        <f>N14*K14/308</f>
        <v>1302.7402869470727</v>
      </c>
      <c r="P14" s="102">
        <f>$F$12*(VLOOKUP($F$11,$Y$20:$AG$28,4,0))+IF(I14&gt;1.8%,$F$14*(VLOOKUP($F$13,$Y$20:$AG$28,4,0)),0)</f>
        <v>9000</v>
      </c>
      <c r="Q14" s="156">
        <f>$F$12*J14/K14*VLOOKUP($F$11,$Y$20:$AB$28,2,0)*O14/P14+$F$14*J14/K14*VLOOKUP($F$13,$Y$20:$AB$28,2,0)*O14/P14</f>
        <v>0</v>
      </c>
      <c r="R14" s="157">
        <f>Q14*$F$7</f>
        <v>0</v>
      </c>
      <c r="S14" s="102">
        <f>$F$12*((VLOOKUP($F$11,$Y$20:$AG$28,7,0)*VLOOKUP($F$11,$Y$20:$AG$28,5,0)*K14*K14)/(VLOOKUP($F$11,$Y$20:$AG$28,9,0)/VLOOKUP($F$11,$Y$20:$AG$28,8,0))/VLOOKUP($F$11,$Y$20:$AG$28,8,0))+((VLOOKUP($F$9,$Y$11:$AF$17,4,0)*VLOOKUP($F$9,$Y$11:$AF$17,5,0)*K14*K14)/(((VLOOKUP($F$9,$Y$11:$AF$17,7,0)/2000))/((VLOOKUP($F$9,$Y$11:$AF$17,8,0))))/VLOOKUP($F$9,$Y$11:$AF$17,8,0))*$F$17</f>
        <v>1741.437055559897</v>
      </c>
      <c r="T14" s="102">
        <f>$F$12*(1.3+0.29/((VLOOKUP($F$11,$Y$20:$AG$28,9,0))/VLOOKUP($F$11,$Y$20:$AG$28,8,0)))+(1.3+0.29/((VLOOKUP($F$9,$Y$11:$AF$17,7,0))/VLOOKUP($F$9,$Y$11:$AF$17,8,0)))*$F$17</f>
        <v>10826.463363425022</v>
      </c>
      <c r="U14" s="102">
        <f>$F$12*(VLOOKUP($F$11,$Y$20:$AG$28,6,0)*K14)+(VLOOKUP($F$9,$Y$11:$AF$17,3,0)*K14)*$F$17</f>
        <v>7494.299999999999</v>
      </c>
      <c r="V14" s="102">
        <f>$F$12*(20*I14*(VLOOKUP($F$11,$Y$20:$AG$28,9,0)))+(20*I14*(VLOOKUP($F$9,$Y$10:$AF$17,7,0)/2000))*$F$17</f>
        <v>0</v>
      </c>
      <c r="W14" s="102">
        <f>$F$12*(0.8*H14*(VLOOKUP($F$11,$Y$20:$AG$28,9,0))/2000)+(0.8*H14*((VLOOKUP($F$9,$Y$11:$AF$17,7,0))/2000/2000))*$F$17</f>
        <v>0</v>
      </c>
      <c r="X14" s="151"/>
      <c r="Y14" s="199" t="s">
        <v>37</v>
      </c>
      <c r="Z14" s="200"/>
      <c r="AA14" s="4">
        <v>0.045</v>
      </c>
      <c r="AB14" s="4">
        <v>0.0005</v>
      </c>
      <c r="AC14" s="4">
        <v>170</v>
      </c>
      <c r="AD14" s="36">
        <v>50000</v>
      </c>
      <c r="AE14" s="36">
        <v>180000</v>
      </c>
      <c r="AF14" s="4">
        <v>4</v>
      </c>
      <c r="AI14" s="137"/>
      <c r="AJ14" s="137"/>
      <c r="AK14" s="46"/>
      <c r="AL14" s="46"/>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row>
    <row r="15" spans="5:76" ht="12.75">
      <c r="E15" s="152" t="s">
        <v>218</v>
      </c>
      <c r="F15" s="5">
        <f>VLOOKUP(F9,$Y$11:$AF$17,7,0)</f>
        <v>268000</v>
      </c>
      <c r="G15" s="5">
        <f>VLOOKUP(F9,$Y$11:$AF$17,6,0)</f>
        <v>67000</v>
      </c>
      <c r="H15" s="6">
        <v>0</v>
      </c>
      <c r="I15" s="22">
        <v>0</v>
      </c>
      <c r="J15" s="6">
        <v>0</v>
      </c>
      <c r="K15" s="11">
        <f>$H$9</f>
        <v>20</v>
      </c>
      <c r="L15" s="139">
        <f>IF(O15&lt;=P15,O15/N15*308,P15/N15*308)</f>
        <v>20.000000000000004</v>
      </c>
      <c r="M15" s="155">
        <f>J15/L15</f>
        <v>0</v>
      </c>
      <c r="N15" s="102">
        <f>SUM(S15:W15)</f>
        <v>20062.200418984918</v>
      </c>
      <c r="O15" s="102">
        <f>N15*K15/308</f>
        <v>1302.7402869470727</v>
      </c>
      <c r="P15" s="102">
        <f>$F$12*(VLOOKUP($F$11,$Y$20:$AG$28,4,0))+IF(I15&gt;1.8%,$F$14*(VLOOKUP($F$13,$Y$20:$AG$28,4,0)),0)</f>
        <v>9000</v>
      </c>
      <c r="Q15" s="156">
        <f>$F$12*J15/K15*VLOOKUP($F$11,$Y$20:$AB$28,2,0)*O15/P15+$F$14*J15/K15*VLOOKUP($F$13,$Y$20:$AB$28,2,0)*O15/P15</f>
        <v>0</v>
      </c>
      <c r="R15" s="157">
        <f>Q15*$F$7</f>
        <v>0</v>
      </c>
      <c r="S15" s="102">
        <f>$F$12*((VLOOKUP($F$11,$Y$20:$AG$28,7,0)*VLOOKUP($F$11,$Y$20:$AG$28,5,0)*K15*K15)/(VLOOKUP($F$11,$Y$20:$AG$28,9,0)/VLOOKUP($F$11,$Y$20:$AG$28,8,0))/VLOOKUP($F$11,$Y$20:$AG$28,8,0))+((VLOOKUP($F$9,$Y$11:$AF$17,4,0)*VLOOKUP($F$9,$Y$11:$AF$17,5,0)*K15*K15)/(((VLOOKUP($F$9,$Y$11:$AF$17,7,0)/2000))/((VLOOKUP($F$9,$Y$11:$AF$17,8,0))))/VLOOKUP($F$9,$Y$11:$AF$17,8,0))*$F$17</f>
        <v>1741.437055559897</v>
      </c>
      <c r="T15" s="102">
        <f>$F$12*(1.3+0.29/((VLOOKUP($F$11,$Y$20:$AG$28,9,0))/VLOOKUP($F$11,$Y$20:$AG$28,8,0)))+(1.3+0.29/((VLOOKUP($F$9,$Y$11:$AF$17,7,0))/VLOOKUP($F$9,$Y$11:$AF$17,8,0)))*$F$17</f>
        <v>10826.463363425022</v>
      </c>
      <c r="U15" s="102">
        <f>$F$12*(VLOOKUP($F$11,$Y$20:$AG$28,6,0)*K15)+(VLOOKUP($F$9,$Y$11:$AF$17,3,0)*K15)*$F$17</f>
        <v>7494.299999999999</v>
      </c>
      <c r="V15" s="102">
        <f>$F$12*(20*I15*(VLOOKUP($F$11,$Y$20:$AG$28,9,0)))+(20*I15*(VLOOKUP($F$9,$Y$10:$AF$17,7,0)/2000))*$F$17</f>
        <v>0</v>
      </c>
      <c r="W15" s="102">
        <f>$F$12*(0.8*H15*(VLOOKUP($F$11,$Y$20:$AG$28,9,0))/2000)+(0.8*H15*((VLOOKUP($F$9,$Y$11:$AF$17,7,0))/2000/2000))*$F$17</f>
        <v>0</v>
      </c>
      <c r="X15" s="151"/>
      <c r="Y15" s="145" t="s">
        <v>20</v>
      </c>
      <c r="Z15" s="3"/>
      <c r="AA15" s="4">
        <v>0.045</v>
      </c>
      <c r="AB15" s="4">
        <v>0.0003</v>
      </c>
      <c r="AC15" s="4">
        <v>120</v>
      </c>
      <c r="AD15" s="36">
        <v>50000</v>
      </c>
      <c r="AE15" s="36">
        <v>60000</v>
      </c>
      <c r="AF15" s="4">
        <v>4</v>
      </c>
      <c r="AI15" s="137"/>
      <c r="AJ15" s="137"/>
      <c r="AK15" s="46"/>
      <c r="AL15" s="46"/>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row>
    <row r="16" spans="5:76" ht="12.75">
      <c r="E16" s="152" t="s">
        <v>217</v>
      </c>
      <c r="F16" s="5">
        <f>F10*F15+F12*2000*VLOOKUP(F11,$Y$20:$AG$28,9,0)+F14*2000*VLOOKUP(F13,$Y$20:$AG$28,9,0)</f>
        <v>16650000</v>
      </c>
      <c r="G16" s="5">
        <f>G10*G15+G12*2000*VLOOKUP(G11,$Y$20:$AG$28,9,0)+G14*2000*VLOOKUP(G13,$Y$20:$AG$28,9,0)</f>
        <v>4831000</v>
      </c>
      <c r="H16" s="11"/>
      <c r="I16" s="11"/>
      <c r="J16" s="11"/>
      <c r="K16" s="11"/>
      <c r="L16" s="11"/>
      <c r="M16" s="11"/>
      <c r="N16" s="11"/>
      <c r="O16" s="11"/>
      <c r="P16" s="11"/>
      <c r="Q16" s="11"/>
      <c r="R16" s="11"/>
      <c r="S16" s="11"/>
      <c r="T16" s="11"/>
      <c r="U16" s="11"/>
      <c r="V16" s="11"/>
      <c r="W16" s="11"/>
      <c r="X16" s="151"/>
      <c r="Y16" s="203" t="s">
        <v>10</v>
      </c>
      <c r="Z16" s="204"/>
      <c r="AA16" s="4">
        <v>0.045</v>
      </c>
      <c r="AB16" s="4">
        <v>0.0007</v>
      </c>
      <c r="AC16" s="4">
        <v>80</v>
      </c>
      <c r="AD16" s="36">
        <v>35000</v>
      </c>
      <c r="AE16" s="36">
        <v>80000</v>
      </c>
      <c r="AF16" s="4">
        <v>4</v>
      </c>
      <c r="AI16" s="137"/>
      <c r="AJ16" s="137"/>
      <c r="AK16" s="46"/>
      <c r="AL16" s="46"/>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row>
    <row r="17" spans="5:76" ht="12.75">
      <c r="E17" s="152" t="s">
        <v>219</v>
      </c>
      <c r="F17" s="5">
        <f>F16/2000</f>
        <v>8325</v>
      </c>
      <c r="G17" s="5">
        <f>G16/2000</f>
        <v>2415.5</v>
      </c>
      <c r="H17" s="11"/>
      <c r="I17" s="158" t="s">
        <v>221</v>
      </c>
      <c r="J17" s="158">
        <f>SUM(J11:J15)</f>
        <v>329</v>
      </c>
      <c r="K17" s="158"/>
      <c r="L17" s="158"/>
      <c r="M17" s="159">
        <f aca="true" t="shared" si="0" ref="M17:R17">SUM(M11:M15)</f>
        <v>17.67246132648911</v>
      </c>
      <c r="N17" s="158"/>
      <c r="O17" s="158"/>
      <c r="P17" s="158"/>
      <c r="Q17" s="160">
        <f t="shared" si="0"/>
        <v>7953.382974781079</v>
      </c>
      <c r="R17" s="161">
        <f t="shared" si="0"/>
        <v>10339.397867215403</v>
      </c>
      <c r="S17" s="11"/>
      <c r="T17" s="11"/>
      <c r="U17" s="11"/>
      <c r="V17" s="11"/>
      <c r="W17" s="11"/>
      <c r="X17" s="151"/>
      <c r="Y17" s="203" t="s">
        <v>11</v>
      </c>
      <c r="Z17" s="204"/>
      <c r="AA17" s="4">
        <v>0.045</v>
      </c>
      <c r="AB17" s="4">
        <v>0.0011</v>
      </c>
      <c r="AC17" s="4">
        <v>90</v>
      </c>
      <c r="AD17" s="36">
        <v>35000</v>
      </c>
      <c r="AE17" s="36">
        <v>70000</v>
      </c>
      <c r="AF17" s="4">
        <v>4</v>
      </c>
      <c r="AI17" s="137"/>
      <c r="AJ17" s="137"/>
      <c r="AK17" s="46"/>
      <c r="AL17" s="46"/>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row>
    <row r="18" spans="5:73" ht="51">
      <c r="E18" s="152" t="s">
        <v>236</v>
      </c>
      <c r="F18" s="94">
        <f>G17/F17</f>
        <v>0.29015015015015017</v>
      </c>
      <c r="G18" s="11"/>
      <c r="H18" s="153" t="s">
        <v>225</v>
      </c>
      <c r="I18" s="153" t="s">
        <v>226</v>
      </c>
      <c r="J18" s="10" t="s">
        <v>101</v>
      </c>
      <c r="K18" s="154" t="s">
        <v>113</v>
      </c>
      <c r="L18" s="154" t="s">
        <v>112</v>
      </c>
      <c r="M18" s="10" t="s">
        <v>222</v>
      </c>
      <c r="N18" s="153" t="s">
        <v>230</v>
      </c>
      <c r="O18" s="10" t="s">
        <v>103</v>
      </c>
      <c r="P18" s="10" t="s">
        <v>104</v>
      </c>
      <c r="Q18" s="10" t="s">
        <v>106</v>
      </c>
      <c r="R18" s="10" t="s">
        <v>170</v>
      </c>
      <c r="S18" s="153" t="s">
        <v>240</v>
      </c>
      <c r="T18" s="153" t="s">
        <v>232</v>
      </c>
      <c r="U18" s="153" t="s">
        <v>233</v>
      </c>
      <c r="V18" s="153" t="s">
        <v>224</v>
      </c>
      <c r="W18" s="136"/>
      <c r="X18" s="162"/>
      <c r="AD18" s="1"/>
      <c r="AE18" s="1"/>
      <c r="AI18" s="46"/>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row>
    <row r="19" spans="5:34" ht="12.75">
      <c r="E19" s="152"/>
      <c r="F19" s="11"/>
      <c r="G19" s="11"/>
      <c r="H19" s="178">
        <v>0.05</v>
      </c>
      <c r="I19" s="22">
        <v>0.022</v>
      </c>
      <c r="J19" s="6">
        <v>20</v>
      </c>
      <c r="K19" s="11">
        <v>20</v>
      </c>
      <c r="L19" s="63">
        <f>IF(O19&lt;=P19,O19/N19*308,P19/N19*308)</f>
        <v>20.000000000000004</v>
      </c>
      <c r="M19" s="155">
        <f>J19/L19</f>
        <v>0.9999999999999998</v>
      </c>
      <c r="N19" s="102">
        <f>SUM(S19:W19)</f>
        <v>148502.93894502966</v>
      </c>
      <c r="O19" s="102">
        <f>N19*K19/308</f>
        <v>9643.047983443485</v>
      </c>
      <c r="P19" s="102">
        <f>$F$12*(VLOOKUP($F$11,$Y$20:$AG$28,4,0))+IF(I19&gt;1.8%,$F$14*(VLOOKUP($F$13,$Y$20:$AG$28,4,0)),0)</f>
        <v>15000</v>
      </c>
      <c r="Q19" s="156">
        <f>$F$12*J19/K19*VLOOKUP($F$11,$Y$20:$AB$28,2,0)*O19/P19+$F$14*J19/K19*VLOOKUP($F$13,$Y$20:$AB$28,2,0)*O19/P19</f>
        <v>539.0463822744907</v>
      </c>
      <c r="R19" s="157">
        <f>Q19*$F$7</f>
        <v>700.7602969568379</v>
      </c>
      <c r="S19" s="102">
        <f>$F$12*((VLOOKUP($F$11,$Y$20:$AG$28,7,0)*VLOOKUP($F$11,$Y$20:$AG$28,5,0)*K19*K19)/(VLOOKUP($F$11,$Y$20:$AG$28,9,0)/VLOOKUP($F$11,$Y$20:$AG$28,8,0))/VLOOKUP($F$11,$Y$20:$AG$28,8,0))+((VLOOKUP($F$9,$Y$11:$AF$17,4,0)*VLOOKUP($F$9,$Y$11:$AF$17,5,0)*K19*K19)/(((VLOOKUP($F$9,$Y$11:$AF$17,7,0)/2000))/((VLOOKUP($F$9,$Y$11:$AF$17,8,0))))/VLOOKUP($F$9,$Y$11:$AF$17,8,0))*$G$17</f>
        <v>506.61616003750885</v>
      </c>
      <c r="T19" s="102">
        <f>$F$12*(1.3+0.29/((VLOOKUP($F$11,$Y$20:$AG$28,9,0))/VLOOKUP($F$11,$Y$20:$AG$28,8,0)))+(1.3+0.29/((VLOOKUP($F$9,$Y$11:$AF$17,7,0))/VLOOKUP($F$9,$Y$11:$AF$17,8,0)))*$G$17</f>
        <v>3144.087784992186</v>
      </c>
      <c r="U19" s="102">
        <f>$F$12*(VLOOKUP($F$11,$Y$20:$AG$28,6,0)*K19)+(VLOOKUP($F$9,$Y$11:$AF$17,3,0)*K19)*$G$17</f>
        <v>2175.75</v>
      </c>
      <c r="V19" s="102">
        <f>$F$12*(20*I19*(VLOOKUP($F$11,$Y$20:$AG$28,9,0)))+(20*I19*(VLOOKUP($F$9,$Y$10:$AF$17,7,0)/2000))*$G$17</f>
        <v>142669.99999999997</v>
      </c>
      <c r="W19" s="102">
        <f>$F$12*(0.8*H19*(VLOOKUP($F$11,$Y$20:$AG$28,9,0))/2000)+(0.8*H19*((VLOOKUP($F$9,$Y$11:$AF$17,7,0))/2000/2000))*$G$17</f>
        <v>6.485000000000001</v>
      </c>
      <c r="X19" s="151"/>
      <c r="Y19" s="145" t="s">
        <v>50</v>
      </c>
      <c r="Z19" s="3" t="s">
        <v>48</v>
      </c>
      <c r="AA19" s="3" t="s">
        <v>49</v>
      </c>
      <c r="AB19" s="3" t="s">
        <v>51</v>
      </c>
      <c r="AC19" s="33" t="s">
        <v>52</v>
      </c>
      <c r="AD19" s="3" t="s">
        <v>53</v>
      </c>
      <c r="AE19" s="3" t="s">
        <v>54</v>
      </c>
      <c r="AF19" s="3" t="s">
        <v>13</v>
      </c>
      <c r="AG19" s="3" t="s">
        <v>0</v>
      </c>
      <c r="AH19" s="3" t="s">
        <v>105</v>
      </c>
    </row>
    <row r="20" spans="5:34" ht="12.75">
      <c r="E20" s="152"/>
      <c r="F20" s="11"/>
      <c r="G20" s="11"/>
      <c r="H20" s="178">
        <v>0.01</v>
      </c>
      <c r="I20" s="22">
        <v>0.002</v>
      </c>
      <c r="J20" s="6">
        <v>309</v>
      </c>
      <c r="K20" s="11">
        <v>20</v>
      </c>
      <c r="L20" s="64">
        <f>IF(O20&lt;=P20,O20/N20*308,P20/N20*308)</f>
        <v>19.999999999999996</v>
      </c>
      <c r="M20" s="155">
        <f>J20/L20</f>
        <v>15.450000000000003</v>
      </c>
      <c r="N20" s="102">
        <f>SUM(S20:W20)</f>
        <v>18797.750945029693</v>
      </c>
      <c r="O20" s="102">
        <f>N20*K20/308</f>
        <v>1220.6331782486814</v>
      </c>
      <c r="P20" s="102">
        <f>$F$12*(VLOOKUP($F$11,$Y$20:$AG$28,4,0))+IF(I20&gt;1.8%,$F$14*(VLOOKUP($F$13,$Y$20:$AG$28,4,0)),0)</f>
        <v>9000</v>
      </c>
      <c r="Q20" s="156">
        <f>$F$12*J20/K20*VLOOKUP($F$11,$Y$20:$AB$28,2,0)*O20/P20+$F$14*J20/K20*VLOOKUP($F$13,$Y$20:$AB$28,2,0)*O20/P20</f>
        <v>1757.009912600608</v>
      </c>
      <c r="R20" s="157">
        <f>Q20*$F$7</f>
        <v>2284.1128863807903</v>
      </c>
      <c r="S20" s="102">
        <f>$F$12*((VLOOKUP($F$11,$Y$20:$AG$28,7,0)*VLOOKUP($F$11,$Y$20:$AG$28,5,0)*K20*K20)/(VLOOKUP($F$11,$Y$20:$AG$28,9,0)/VLOOKUP($F$11,$Y$20:$AG$28,8,0))/VLOOKUP($F$11,$Y$20:$AG$28,8,0))+((VLOOKUP($F$9,$Y$11:$AF$17,4,0)*VLOOKUP($F$9,$Y$11:$AF$17,5,0)*K20*K20)/(((VLOOKUP($F$9,$Y$11:$AF$17,7,0)/2000))/((VLOOKUP($F$9,$Y$11:$AF$17,8,0))))/VLOOKUP($F$9,$Y$11:$AF$17,8,0))*$G$17</f>
        <v>506.61616003750885</v>
      </c>
      <c r="T20" s="102">
        <f>$F$12*(1.3+0.29/((VLOOKUP($F$11,$Y$20:$AG$28,9,0))/VLOOKUP($F$11,$Y$20:$AG$28,8,0)))+(1.3+0.29/((VLOOKUP($F$9,$Y$11:$AF$17,7,0))/VLOOKUP($F$9,$Y$11:$AF$17,8,0)))*$G$17</f>
        <v>3144.087784992186</v>
      </c>
      <c r="U20" s="102">
        <f>$F$12*(VLOOKUP($F$11,$Y$20:$AG$28,6,0)*K20)+(VLOOKUP($F$9,$Y$11:$AF$17,3,0)*K20)*$G$17</f>
        <v>2175.75</v>
      </c>
      <c r="V20" s="102">
        <f>$F$12*(20*I20*(VLOOKUP($F$11,$Y$20:$AG$28,9,0)))+(20*I20*(VLOOKUP($F$9,$Y$10:$AF$17,7,0)/2000))*$G$17</f>
        <v>12970</v>
      </c>
      <c r="W20" s="102">
        <f>$F$12*(0.8*H20*(VLOOKUP($F$11,$Y$20:$AG$28,9,0))/2000)+(0.8*H20*((VLOOKUP($F$9,$Y$11:$AF$17,7,0))/2000/2000))*$G$17</f>
        <v>1.297</v>
      </c>
      <c r="X20" s="151"/>
      <c r="Y20" s="145" t="s">
        <v>39</v>
      </c>
      <c r="Z20" s="4">
        <v>115</v>
      </c>
      <c r="AA20" s="4">
        <v>3.5</v>
      </c>
      <c r="AB20" s="4">
        <v>1750</v>
      </c>
      <c r="AC20" s="4">
        <v>120</v>
      </c>
      <c r="AD20" s="4">
        <v>0.03</v>
      </c>
      <c r="AE20" s="4">
        <v>0.0025</v>
      </c>
      <c r="AF20" s="4">
        <v>4</v>
      </c>
      <c r="AG20" s="4">
        <v>140</v>
      </c>
      <c r="AH20" s="127">
        <v>250000</v>
      </c>
    </row>
    <row r="21" spans="5:34" ht="12.75">
      <c r="E21" s="152"/>
      <c r="F21" s="11"/>
      <c r="G21" s="11"/>
      <c r="H21" s="178"/>
      <c r="I21" s="22"/>
      <c r="J21" s="6">
        <v>0</v>
      </c>
      <c r="K21" s="11">
        <f>$H$9</f>
        <v>20</v>
      </c>
      <c r="L21" s="64">
        <f>IF(O21&lt;=P21,O21/N21*308,P21/N21*308)</f>
        <v>19.999999999999996</v>
      </c>
      <c r="M21" s="155">
        <f>J21/L21</f>
        <v>0</v>
      </c>
      <c r="N21" s="102">
        <f>SUM(S21:W21)</f>
        <v>5826.453945029694</v>
      </c>
      <c r="O21" s="102">
        <f>N21*K21/308</f>
        <v>378.34116526166844</v>
      </c>
      <c r="P21" s="102">
        <f>$F$12*(VLOOKUP($F$11,$Y$20:$AG$28,4,0))+IF(I21&gt;1.8%,$F$14*(VLOOKUP($F$13,$Y$20:$AG$28,4,0)),0)</f>
        <v>9000</v>
      </c>
      <c r="Q21" s="156">
        <f>$F$12*J21/K21*VLOOKUP($F$11,$Y$20:$AB$28,2,0)*O21/P21+$F$14*J21/K21*VLOOKUP($F$13,$Y$20:$AB$28,2,0)*O21/P21</f>
        <v>0</v>
      </c>
      <c r="R21" s="157">
        <f>Q21*$F$7</f>
        <v>0</v>
      </c>
      <c r="S21" s="102">
        <f>$F$12*((VLOOKUP($F$11,$Y$20:$AG$28,7,0)*VLOOKUP($F$11,$Y$20:$AG$28,5,0)*K21*K21)/(VLOOKUP($F$11,$Y$20:$AG$28,9,0)/VLOOKUP($F$11,$Y$20:$AG$28,8,0))/VLOOKUP($F$11,$Y$20:$AG$28,8,0))+((VLOOKUP($F$9,$Y$11:$AF$17,4,0)*VLOOKUP($F$9,$Y$11:$AF$17,5,0)*K21*K21)/(((VLOOKUP($F$9,$Y$11:$AF$17,7,0)/2000))/((VLOOKUP($F$9,$Y$11:$AF$17,8,0))))/VLOOKUP($F$9,$Y$11:$AF$17,8,0))*$G$17</f>
        <v>506.61616003750885</v>
      </c>
      <c r="T21" s="102">
        <f>$F$12*(1.3+0.29/((VLOOKUP($F$11,$Y$20:$AG$28,9,0))/VLOOKUP($F$11,$Y$20:$AG$28,8,0)))+(1.3+0.29/((VLOOKUP($F$9,$Y$11:$AF$17,7,0))/VLOOKUP($F$9,$Y$11:$AF$17,8,0)))*$G$17</f>
        <v>3144.087784992186</v>
      </c>
      <c r="U21" s="102">
        <f>$F$12*(VLOOKUP($F$11,$Y$20:$AG$28,6,0)*K21)+(VLOOKUP($F$9,$Y$11:$AF$17,3,0)*K21)*$G$17</f>
        <v>2175.75</v>
      </c>
      <c r="V21" s="102">
        <f>$F$12*(20*I21*(VLOOKUP($F$11,$Y$20:$AG$28,9,0)))+(20*I21*(VLOOKUP($F$9,$Y$10:$AF$17,7,0)/2000))*$G$17</f>
        <v>0</v>
      </c>
      <c r="W21" s="102">
        <f>$F$12*(0.8*H21*(VLOOKUP($F$11,$Y$20:$AG$28,9,0))/2000)+(0.8*H21*((VLOOKUP($F$9,$Y$11:$AF$17,7,0))/2000/2000))*$G$17</f>
        <v>0</v>
      </c>
      <c r="X21" s="151"/>
      <c r="Y21" s="145" t="s">
        <v>40</v>
      </c>
      <c r="Z21" s="4">
        <v>135</v>
      </c>
      <c r="AA21" s="4">
        <v>4.2</v>
      </c>
      <c r="AB21" s="4">
        <v>2300</v>
      </c>
      <c r="AC21" s="4">
        <v>120</v>
      </c>
      <c r="AD21" s="4">
        <v>0.03</v>
      </c>
      <c r="AE21" s="4">
        <v>0.0025</v>
      </c>
      <c r="AF21" s="4">
        <v>4</v>
      </c>
      <c r="AG21" s="4">
        <v>160</v>
      </c>
      <c r="AH21" s="127">
        <v>350000</v>
      </c>
    </row>
    <row r="22" spans="5:34" ht="12.75">
      <c r="E22" s="152"/>
      <c r="F22" s="11"/>
      <c r="G22" s="11"/>
      <c r="H22" s="178"/>
      <c r="I22" s="22"/>
      <c r="J22" s="6">
        <v>0</v>
      </c>
      <c r="K22" s="11">
        <f>$H$9</f>
        <v>20</v>
      </c>
      <c r="L22" s="64">
        <f>IF(O22&lt;=P22,O22/N22*308,P22/N22*308)</f>
        <v>19.999999999999996</v>
      </c>
      <c r="M22" s="155">
        <f>J22/L22</f>
        <v>0</v>
      </c>
      <c r="N22" s="102">
        <f>SUM(S22:W22)</f>
        <v>5826.453945029694</v>
      </c>
      <c r="O22" s="102">
        <f>N22*K22/308</f>
        <v>378.34116526166844</v>
      </c>
      <c r="P22" s="102">
        <f>$F$12*(VLOOKUP($F$11,$Y$20:$AG$28,4,0))+IF(I22&gt;1.8%,$F$14*(VLOOKUP($F$13,$Y$20:$AG$28,4,0)),0)</f>
        <v>9000</v>
      </c>
      <c r="Q22" s="156">
        <f>$F$12*J22/K22*VLOOKUP($F$11,$Y$20:$AB$28,2,0)*O22/P22+$F$14*J22/K22*VLOOKUP($F$13,$Y$20:$AB$28,2,0)*O22/P22</f>
        <v>0</v>
      </c>
      <c r="R22" s="157">
        <f>Q22*$F$7</f>
        <v>0</v>
      </c>
      <c r="S22" s="102">
        <f>$F$12*((VLOOKUP($F$11,$Y$20:$AG$28,7,0)*VLOOKUP($F$11,$Y$20:$AG$28,5,0)*K22*K22)/(VLOOKUP($F$11,$Y$20:$AG$28,9,0)/VLOOKUP($F$11,$Y$20:$AG$28,8,0))/VLOOKUP($F$11,$Y$20:$AG$28,8,0))+((VLOOKUP($F$9,$Y$11:$AF$17,4,0)*VLOOKUP($F$9,$Y$11:$AF$17,5,0)*K22*K22)/(((VLOOKUP($F$9,$Y$11:$AF$17,7,0)/2000))/((VLOOKUP($F$9,$Y$11:$AF$17,8,0))))/VLOOKUP($F$9,$Y$11:$AF$17,8,0))*$G$17</f>
        <v>506.61616003750885</v>
      </c>
      <c r="T22" s="102">
        <f>$F$12*(1.3+0.29/((VLOOKUP($F$11,$Y$20:$AG$28,9,0))/VLOOKUP($F$11,$Y$20:$AG$28,8,0)))+(1.3+0.29/((VLOOKUP($F$9,$Y$11:$AF$17,7,0))/VLOOKUP($F$9,$Y$11:$AF$17,8,0)))*$G$17</f>
        <v>3144.087784992186</v>
      </c>
      <c r="U22" s="102">
        <f>$F$12*(VLOOKUP($F$11,$Y$20:$AG$28,6,0)*K22)+(VLOOKUP($F$9,$Y$11:$AF$17,3,0)*K22)*$G$17</f>
        <v>2175.75</v>
      </c>
      <c r="V22" s="102">
        <f>$F$12*(20*I22*(VLOOKUP($F$11,$Y$20:$AG$28,9,0)))+(20*I22*(VLOOKUP($F$9,$Y$10:$AF$17,7,0)/2000))*$G$17</f>
        <v>0</v>
      </c>
      <c r="W22" s="102">
        <f>$F$12*(0.8*H22*(VLOOKUP($F$11,$Y$20:$AG$28,9,0))/2000)+(0.8*H22*((VLOOKUP($F$9,$Y$11:$AF$17,7,0))/2000/2000))*$G$17</f>
        <v>0</v>
      </c>
      <c r="X22" s="151"/>
      <c r="Y22" s="145" t="s">
        <v>41</v>
      </c>
      <c r="Z22" s="4">
        <v>167.7</v>
      </c>
      <c r="AA22" s="4">
        <v>5.5</v>
      </c>
      <c r="AB22" s="4">
        <v>3000</v>
      </c>
      <c r="AC22" s="4">
        <v>120</v>
      </c>
      <c r="AD22" s="4">
        <v>0.03</v>
      </c>
      <c r="AE22" s="4">
        <v>0.0025</v>
      </c>
      <c r="AF22" s="4">
        <v>4</v>
      </c>
      <c r="AG22" s="4">
        <v>180</v>
      </c>
      <c r="AH22" s="127">
        <v>900000</v>
      </c>
    </row>
    <row r="23" spans="5:34" ht="12.75">
      <c r="E23" s="152"/>
      <c r="F23" s="11"/>
      <c r="G23" s="11"/>
      <c r="H23" s="178"/>
      <c r="I23" s="22"/>
      <c r="J23" s="6">
        <v>0</v>
      </c>
      <c r="K23" s="11">
        <f>$H$9</f>
        <v>20</v>
      </c>
      <c r="L23" s="139">
        <f>IF(O23&lt;=P23,O23/N23*308,P23/N23*308)</f>
        <v>19.999999999999996</v>
      </c>
      <c r="M23" s="155">
        <f>J23/L23</f>
        <v>0</v>
      </c>
      <c r="N23" s="102">
        <f>SUM(S23:W23)</f>
        <v>5826.453945029694</v>
      </c>
      <c r="O23" s="102">
        <f>N23*K23/308</f>
        <v>378.34116526166844</v>
      </c>
      <c r="P23" s="102">
        <f>$F$12*(VLOOKUP($F$11,$Y$20:$AG$28,4,0))+IF(I23&gt;1.8%,$F$14*(VLOOKUP($F$13,$Y$20:$AG$28,4,0)),0)</f>
        <v>9000</v>
      </c>
      <c r="Q23" s="156">
        <f>$F$12*J23/K23*VLOOKUP($F$11,$Y$20:$AB$28,2,0)*O23/P23+$F$14*J23/K23*VLOOKUP($F$13,$Y$20:$AB$28,2,0)*O23/P23</f>
        <v>0</v>
      </c>
      <c r="R23" s="157">
        <f>Q23*$F$7</f>
        <v>0</v>
      </c>
      <c r="S23" s="102">
        <f>$F$12*((VLOOKUP($F$11,$Y$20:$AG$28,7,0)*VLOOKUP($F$11,$Y$20:$AG$28,5,0)*K23*K23)/(VLOOKUP($F$11,$Y$20:$AG$28,9,0)/VLOOKUP($F$11,$Y$20:$AG$28,8,0))/VLOOKUP($F$11,$Y$20:$AG$28,8,0))+((VLOOKUP($F$9,$Y$11:$AF$17,4,0)*VLOOKUP($F$9,$Y$11:$AF$17,5,0)*K23*K23)/(((VLOOKUP($F$9,$Y$11:$AF$17,7,0)/2000))/((VLOOKUP($F$9,$Y$11:$AF$17,8,0))))/VLOOKUP($F$9,$Y$11:$AF$17,8,0))*$G$17</f>
        <v>506.61616003750885</v>
      </c>
      <c r="T23" s="102">
        <f>$F$12*(1.3+0.29/((VLOOKUP($F$11,$Y$20:$AG$28,9,0))/VLOOKUP($F$11,$Y$20:$AG$28,8,0)))+(1.3+0.29/((VLOOKUP($F$9,$Y$11:$AF$17,7,0))/VLOOKUP($F$9,$Y$11:$AF$17,8,0)))*$G$17</f>
        <v>3144.087784992186</v>
      </c>
      <c r="U23" s="102">
        <f>$F$12*(VLOOKUP($F$11,$Y$20:$AG$28,6,0)*K23)+(VLOOKUP($F$9,$Y$11:$AF$17,3,0)*K23)*$G$17</f>
        <v>2175.75</v>
      </c>
      <c r="V23" s="102">
        <f>$F$12*(20*I23*(VLOOKUP($F$11,$Y$20:$AG$28,9,0)))+(20*I23*(VLOOKUP($F$9,$Y$10:$AF$17,7,0)/2000))*$G$17</f>
        <v>0</v>
      </c>
      <c r="W23" s="102">
        <f>$F$12*(0.8*H23*(VLOOKUP($F$11,$Y$20:$AG$28,9,0))/2000)+(0.8*H23*((VLOOKUP($F$9,$Y$11:$AF$17,7,0))/2000/2000))*$G$17</f>
        <v>0</v>
      </c>
      <c r="X23" s="151"/>
      <c r="Y23" s="145" t="s">
        <v>42</v>
      </c>
      <c r="Z23" s="4">
        <v>167.7</v>
      </c>
      <c r="AA23" s="4">
        <v>5.5</v>
      </c>
      <c r="AB23" s="4">
        <v>3000</v>
      </c>
      <c r="AC23" s="4">
        <v>120</v>
      </c>
      <c r="AD23" s="4">
        <v>0.03</v>
      </c>
      <c r="AE23" s="4">
        <v>0.0025</v>
      </c>
      <c r="AF23" s="4">
        <v>6</v>
      </c>
      <c r="AG23" s="4">
        <v>191</v>
      </c>
      <c r="AH23" s="127">
        <v>900000</v>
      </c>
    </row>
    <row r="24" spans="5:34" ht="12.75">
      <c r="E24" s="152"/>
      <c r="F24" s="11"/>
      <c r="G24" s="11"/>
      <c r="H24" s="11"/>
      <c r="I24" s="11"/>
      <c r="J24" s="11"/>
      <c r="K24" s="11"/>
      <c r="L24" s="11"/>
      <c r="M24" s="11"/>
      <c r="N24" s="11"/>
      <c r="O24" s="11"/>
      <c r="P24" s="11"/>
      <c r="Q24" s="11"/>
      <c r="R24" s="11"/>
      <c r="S24" s="11"/>
      <c r="T24" s="11"/>
      <c r="U24" s="11"/>
      <c r="V24" s="11"/>
      <c r="W24" s="11"/>
      <c r="X24" s="151"/>
      <c r="Y24" s="145" t="s">
        <v>43</v>
      </c>
      <c r="Z24" s="4">
        <v>194</v>
      </c>
      <c r="AA24" s="4">
        <v>6</v>
      </c>
      <c r="AB24" s="4">
        <v>3600</v>
      </c>
      <c r="AC24" s="4">
        <v>120</v>
      </c>
      <c r="AD24" s="4">
        <v>0.03</v>
      </c>
      <c r="AE24" s="4">
        <v>0.0025</v>
      </c>
      <c r="AF24" s="4">
        <v>6</v>
      </c>
      <c r="AG24" s="4">
        <v>200</v>
      </c>
      <c r="AH24" s="127">
        <v>1250000</v>
      </c>
    </row>
    <row r="25" spans="5:34" ht="13.5" thickBot="1">
      <c r="E25" s="152"/>
      <c r="F25" s="11"/>
      <c r="G25" s="11"/>
      <c r="H25" s="11"/>
      <c r="I25" s="11"/>
      <c r="J25" s="158">
        <f>SUM(J19:J23)</f>
        <v>329</v>
      </c>
      <c r="K25" s="158"/>
      <c r="L25" s="158"/>
      <c r="M25" s="159">
        <f>SUM(M19:M23)</f>
        <v>16.450000000000003</v>
      </c>
      <c r="N25" s="158"/>
      <c r="O25" s="158"/>
      <c r="P25" s="158"/>
      <c r="Q25" s="160">
        <f>SUM(Q19:Q23)</f>
        <v>2296.0562948750985</v>
      </c>
      <c r="R25" s="161">
        <f>SUM(R19:R23)</f>
        <v>2984.8731833376282</v>
      </c>
      <c r="S25" s="11"/>
      <c r="T25" s="11"/>
      <c r="U25" s="11"/>
      <c r="V25" s="11"/>
      <c r="W25" s="11"/>
      <c r="X25" s="151"/>
      <c r="Y25" s="145" t="s">
        <v>44</v>
      </c>
      <c r="Z25" s="4">
        <v>194</v>
      </c>
      <c r="AA25" s="4">
        <v>6</v>
      </c>
      <c r="AB25" s="4">
        <v>3600</v>
      </c>
      <c r="AC25" s="4">
        <v>120</v>
      </c>
      <c r="AD25" s="4">
        <v>0.03</v>
      </c>
      <c r="AE25" s="4">
        <v>0.0025</v>
      </c>
      <c r="AF25" s="4">
        <v>6</v>
      </c>
      <c r="AG25" s="4">
        <v>200</v>
      </c>
      <c r="AH25" s="127">
        <v>1250000</v>
      </c>
    </row>
    <row r="26" spans="5:34" ht="14.25" thickBot="1" thickTop="1">
      <c r="E26" s="152"/>
      <c r="F26" s="11"/>
      <c r="G26" s="11"/>
      <c r="H26" s="11"/>
      <c r="I26" s="158" t="s">
        <v>237</v>
      </c>
      <c r="J26" s="158"/>
      <c r="K26" s="11"/>
      <c r="L26" s="11"/>
      <c r="M26" s="168">
        <f>M17+M25</f>
        <v>34.122461326489116</v>
      </c>
      <c r="N26" s="155"/>
      <c r="O26" s="155"/>
      <c r="P26" s="155"/>
      <c r="Q26" s="155">
        <f>Q17+Q25</f>
        <v>10249.439269656177</v>
      </c>
      <c r="R26" s="177">
        <f>R17+R25</f>
        <v>13324.27105055303</v>
      </c>
      <c r="S26" s="11"/>
      <c r="T26" s="11"/>
      <c r="U26" s="11"/>
      <c r="V26" s="102">
        <f>$F$12*(VLOOKUP($F$11,$Y$20:$AG$28,6,0)*L26)+(VLOOKUP($F$9,$Y$11:$AF$17,3,0)*L26)*$G$17</f>
        <v>0</v>
      </c>
      <c r="W26" s="11"/>
      <c r="X26" s="151"/>
      <c r="Y26" s="145" t="s">
        <v>45</v>
      </c>
      <c r="Z26" s="4">
        <v>193.8</v>
      </c>
      <c r="AA26" s="4">
        <v>6.3</v>
      </c>
      <c r="AB26" s="4">
        <v>3800</v>
      </c>
      <c r="AC26" s="4">
        <v>120</v>
      </c>
      <c r="AD26" s="4">
        <v>0.03</v>
      </c>
      <c r="AE26" s="4">
        <v>0.0025</v>
      </c>
      <c r="AF26" s="4">
        <v>6</v>
      </c>
      <c r="AG26" s="4">
        <v>220</v>
      </c>
      <c r="AH26" s="127">
        <v>1400000</v>
      </c>
    </row>
    <row r="27" spans="5:34" ht="13.5" thickTop="1">
      <c r="E27" s="152"/>
      <c r="F27" s="11"/>
      <c r="G27" s="11"/>
      <c r="H27" s="11"/>
      <c r="I27" s="11"/>
      <c r="J27" s="11"/>
      <c r="K27" s="11"/>
      <c r="L27" s="11"/>
      <c r="M27" s="11"/>
      <c r="N27" s="11"/>
      <c r="O27" s="11"/>
      <c r="P27" s="11"/>
      <c r="Q27" s="11"/>
      <c r="R27" s="11"/>
      <c r="S27" s="11"/>
      <c r="T27" s="11"/>
      <c r="U27" s="11"/>
      <c r="V27" s="11"/>
      <c r="W27" s="11"/>
      <c r="X27" s="151"/>
      <c r="Y27" s="145" t="s">
        <v>46</v>
      </c>
      <c r="Z27" s="4">
        <v>204</v>
      </c>
      <c r="AA27" s="4">
        <v>6.5</v>
      </c>
      <c r="AB27" s="4">
        <v>4000</v>
      </c>
      <c r="AC27" s="4">
        <v>120</v>
      </c>
      <c r="AD27" s="4">
        <v>0.03</v>
      </c>
      <c r="AE27" s="4">
        <v>0.0025</v>
      </c>
      <c r="AF27" s="4">
        <v>6</v>
      </c>
      <c r="AG27" s="4">
        <v>230</v>
      </c>
      <c r="AH27" s="127">
        <v>1500000</v>
      </c>
    </row>
    <row r="28" spans="5:34" ht="12.75">
      <c r="E28" s="152"/>
      <c r="F28" s="11"/>
      <c r="G28" s="11"/>
      <c r="H28" s="11"/>
      <c r="I28" s="11"/>
      <c r="J28" s="11"/>
      <c r="K28" s="11"/>
      <c r="L28" s="11"/>
      <c r="M28" s="11"/>
      <c r="N28" s="11"/>
      <c r="O28" s="11"/>
      <c r="P28" s="11"/>
      <c r="Q28" s="11"/>
      <c r="R28" s="11"/>
      <c r="S28" s="11"/>
      <c r="T28" s="11"/>
      <c r="U28" s="11"/>
      <c r="V28" s="11"/>
      <c r="W28" s="11"/>
      <c r="X28" s="151"/>
      <c r="Y28" s="145" t="s">
        <v>47</v>
      </c>
      <c r="Z28" s="4">
        <v>275</v>
      </c>
      <c r="AA28" s="4">
        <v>10</v>
      </c>
      <c r="AB28" s="4">
        <v>6000</v>
      </c>
      <c r="AC28" s="4">
        <v>120</v>
      </c>
      <c r="AD28" s="4">
        <v>0.03</v>
      </c>
      <c r="AE28" s="4">
        <v>0.0025</v>
      </c>
      <c r="AF28" s="4">
        <v>6</v>
      </c>
      <c r="AG28" s="4">
        <v>240</v>
      </c>
      <c r="AH28" s="127">
        <v>1900000</v>
      </c>
    </row>
    <row r="29" spans="5:24" ht="15.75">
      <c r="E29" s="150" t="s">
        <v>158</v>
      </c>
      <c r="F29" s="11" t="s">
        <v>227</v>
      </c>
      <c r="G29" s="11" t="s">
        <v>228</v>
      </c>
      <c r="H29" s="11" t="s">
        <v>220</v>
      </c>
      <c r="I29" s="11"/>
      <c r="J29" s="11"/>
      <c r="K29" s="11"/>
      <c r="L29" s="11"/>
      <c r="M29" s="185" t="s">
        <v>238</v>
      </c>
      <c r="N29" s="186"/>
      <c r="O29" s="186"/>
      <c r="P29" s="186"/>
      <c r="Q29" s="187"/>
      <c r="R29" s="11"/>
      <c r="S29" s="11"/>
      <c r="T29" s="11"/>
      <c r="U29" s="11"/>
      <c r="V29" s="11"/>
      <c r="W29" s="11"/>
      <c r="X29" s="151"/>
    </row>
    <row r="30" spans="5:24" ht="12.75">
      <c r="E30" s="152" t="s">
        <v>57</v>
      </c>
      <c r="F30" s="138" t="s">
        <v>38</v>
      </c>
      <c r="G30" s="138" t="str">
        <f>F30</f>
        <v>C. Hopper Car</v>
      </c>
      <c r="H30" s="6">
        <v>20</v>
      </c>
      <c r="I30" s="11"/>
      <c r="J30" s="11"/>
      <c r="K30" s="11"/>
      <c r="L30" s="11"/>
      <c r="M30" s="11"/>
      <c r="N30" s="11"/>
      <c r="O30" s="11"/>
      <c r="P30" s="11"/>
      <c r="Q30" s="11"/>
      <c r="R30" s="11"/>
      <c r="S30" s="11"/>
      <c r="T30" s="11"/>
      <c r="U30" s="11"/>
      <c r="V30" s="11"/>
      <c r="W30" s="11"/>
      <c r="X30" s="151"/>
    </row>
    <row r="31" spans="5:32" ht="28.5" customHeight="1">
      <c r="E31" s="152" t="s">
        <v>215</v>
      </c>
      <c r="F31" s="6">
        <v>55</v>
      </c>
      <c r="G31" s="6">
        <f>F31</f>
        <v>55</v>
      </c>
      <c r="H31" s="153" t="s">
        <v>223</v>
      </c>
      <c r="I31" s="153" t="s">
        <v>224</v>
      </c>
      <c r="J31" s="10" t="s">
        <v>101</v>
      </c>
      <c r="K31" s="154" t="s">
        <v>113</v>
      </c>
      <c r="L31" s="154" t="s">
        <v>112</v>
      </c>
      <c r="M31" s="10" t="s">
        <v>222</v>
      </c>
      <c r="N31" s="153" t="s">
        <v>229</v>
      </c>
      <c r="O31" s="10" t="s">
        <v>103</v>
      </c>
      <c r="P31" s="10" t="s">
        <v>104</v>
      </c>
      <c r="Q31" s="10" t="s">
        <v>106</v>
      </c>
      <c r="R31" s="10" t="s">
        <v>170</v>
      </c>
      <c r="S31" s="153" t="s">
        <v>231</v>
      </c>
      <c r="T31" s="153" t="s">
        <v>232</v>
      </c>
      <c r="U31" s="153" t="s">
        <v>233</v>
      </c>
      <c r="V31" s="153" t="s">
        <v>224</v>
      </c>
      <c r="W31" s="153" t="s">
        <v>251</v>
      </c>
      <c r="X31" s="151"/>
      <c r="Z31" t="s">
        <v>82</v>
      </c>
      <c r="AF31" t="s">
        <v>86</v>
      </c>
    </row>
    <row r="32" spans="5:38" ht="12.75">
      <c r="E32" s="152" t="s">
        <v>72</v>
      </c>
      <c r="F32" s="138" t="s">
        <v>42</v>
      </c>
      <c r="G32" s="138" t="s">
        <v>42</v>
      </c>
      <c r="H32" s="178">
        <v>0.03</v>
      </c>
      <c r="I32" s="22">
        <v>0.022</v>
      </c>
      <c r="J32" s="6">
        <v>17</v>
      </c>
      <c r="K32" s="11">
        <v>20</v>
      </c>
      <c r="L32" s="63">
        <f>IF(O32&lt;=P32,O32/N32*308,P32/N32*308)</f>
        <v>9.03809414841259</v>
      </c>
      <c r="M32" s="155">
        <f>J32/L32</f>
        <v>1.8809275186611996</v>
      </c>
      <c r="N32" s="102">
        <f>SUM(S32:W32)</f>
        <v>511169.71389498486</v>
      </c>
      <c r="O32" s="102">
        <f>N32*K32/308</f>
        <v>33192.83856460941</v>
      </c>
      <c r="P32" s="102">
        <f>$F$33*(VLOOKUP($F$32,$Y$20:$AG$28,4,0))+IF(I32&gt;1.8%,$F$35*(VLOOKUP($F$34,$Y$20:$AG$28,4,0)),0)</f>
        <v>15000</v>
      </c>
      <c r="Q32" s="156">
        <f>$F$12*J32/K32*VLOOKUP($F$11,$Y$20:$AB$28,2,0)*O32/P32+$F$14*J32/K32*VLOOKUP($F$13,$Y$20:$AB$28,2,0)*O32/P32</f>
        <v>1577.157724397416</v>
      </c>
      <c r="R32" s="157">
        <f>Q32*$F$7</f>
        <v>2050.305041716641</v>
      </c>
      <c r="S32" s="102">
        <f>$F$33*((VLOOKUP($F$32,$Y$20:$AG$28,7,0)*VLOOKUP($F$32,$Y$20:$AG$28,5,0)*K32*K32)/(VLOOKUP($F$32,$Y$20:$AG$28,9,0)/VLOOKUP($F$32,$Y$20:$AG$28,8,0))/VLOOKUP($F$32,$Y$20:$AG$28,8,0))+((VLOOKUP($F$30,$Y$11:$AF$17,4,0)*VLOOKUP($F$30,$Y$11:$AF$17,5,0)*K32*K32)/(((VLOOKUP($F$30,$Y$11:$AF$17,7,0)/2000))/((VLOOKUP($F$30,$Y$11:$AF$17,8,0))))/VLOOKUP($F$30,$Y$11:$AF$17,8,0))*$F$38</f>
        <v>1741.437055559897</v>
      </c>
      <c r="T32" s="102">
        <f>$F$33*(1.3+0.29/((VLOOKUP($F$32,$Y$20:$AG$28,9,0))/VLOOKUP($F$32,$Y$20:$AG$28,8,0)))+(1.3+0.29/((VLOOKUP($F$30,$Y$11:$AF$17,7,0))/VLOOKUP($F$30,$Y$11:$AF$17,8,0)))*$F$38</f>
        <v>10826.463363425022</v>
      </c>
      <c r="U32" s="102">
        <f>$F$33*(VLOOKUP($F$11,$Y$20:$AG$28,6,0)*K32)+(VLOOKUP($F$30,$Y$11:$AF$17,3,0)*K32)*$F$38</f>
        <v>7494.299999999999</v>
      </c>
      <c r="V32" s="102">
        <f>$F$33*(20*I32*(VLOOKUP($F$32,$Y$20:$AG$28,9,0)))+(20*I32*(VLOOKUP($F$30,$Y$10:$AF$17,7,0)/2000))*$F$38</f>
        <v>491094.11999999994</v>
      </c>
      <c r="W32" s="102">
        <f>$F$33*(0.8*H32*(VLOOKUP($F$32,$Y$20:$AG$28,9,0))/2000)+(0.8*H32*((VLOOKUP($F$30,$Y$11:$AF$17,7,0))/2000/2000))*$F$38</f>
        <v>13.393476</v>
      </c>
      <c r="X32" s="151"/>
      <c r="Y32" s="144" t="s">
        <v>34</v>
      </c>
      <c r="Z32" t="s">
        <v>83</v>
      </c>
      <c r="AA32" t="s">
        <v>84</v>
      </c>
      <c r="AB32" t="s">
        <v>85</v>
      </c>
      <c r="AC32" t="s">
        <v>29</v>
      </c>
      <c r="AD32" t="s">
        <v>56</v>
      </c>
      <c r="AE32" t="s">
        <v>95</v>
      </c>
      <c r="AF32" t="s">
        <v>87</v>
      </c>
      <c r="AG32" t="s">
        <v>84</v>
      </c>
      <c r="AH32" t="s">
        <v>85</v>
      </c>
      <c r="AI32" t="s">
        <v>29</v>
      </c>
      <c r="AJ32" t="s">
        <v>56</v>
      </c>
      <c r="AK32" t="s">
        <v>15</v>
      </c>
      <c r="AL32" t="s">
        <v>51</v>
      </c>
    </row>
    <row r="33" spans="5:38" ht="12.75">
      <c r="E33" s="152" t="s">
        <v>74</v>
      </c>
      <c r="F33" s="6">
        <v>3</v>
      </c>
      <c r="G33" s="6">
        <v>2</v>
      </c>
      <c r="H33" s="178">
        <v>0.01</v>
      </c>
      <c r="I33" s="22">
        <v>0.002</v>
      </c>
      <c r="J33" s="6">
        <v>193</v>
      </c>
      <c r="K33" s="11">
        <v>20</v>
      </c>
      <c r="L33" s="64">
        <f>IF(O33&lt;=P33,O33/N33*308,P33/N33*308)</f>
        <v>20.000000000000004</v>
      </c>
      <c r="M33" s="155">
        <f>J33/L33</f>
        <v>9.649999999999999</v>
      </c>
      <c r="N33" s="102">
        <f>SUM(S33:W33)</f>
        <v>64711.584910984915</v>
      </c>
      <c r="O33" s="102">
        <f>N33*K33/308</f>
        <v>4202.050968245774</v>
      </c>
      <c r="P33" s="102">
        <f>$F$33*(VLOOKUP($F$32,$Y$20:$AG$28,4,0))+IF(I33&gt;1.8%,$F$35*(VLOOKUP($F$34,$Y$20:$AG$28,4,0)),0)</f>
        <v>9000</v>
      </c>
      <c r="Q33" s="156">
        <f>$F$12*J33/K33*VLOOKUP($F$11,$Y$20:$AB$28,2,0)*O33/P33+$F$14*J33/K33*VLOOKUP($F$13,$Y$20:$AB$28,2,0)*O33/P33</f>
        <v>3777.8889400927656</v>
      </c>
      <c r="R33" s="157">
        <f>Q33*$F$7</f>
        <v>4911.255622120595</v>
      </c>
      <c r="S33" s="102">
        <f>$F$33*((VLOOKUP($F$32,$Y$20:$AG$28,7,0)*VLOOKUP($F$32,$Y$20:$AG$28,5,0)*K33*K33)/(VLOOKUP($F$32,$Y$20:$AG$28,9,0)/VLOOKUP($F$32,$Y$20:$AG$28,8,0))/VLOOKUP($F$32,$Y$20:$AG$28,8,0))+((VLOOKUP($F$30,$Y$11:$AF$17,4,0)*VLOOKUP($F$30,$Y$11:$AF$17,5,0)*K33*K33)/(((VLOOKUP($F$30,$Y$11:$AF$17,7,0)/2000))/((VLOOKUP($F$30,$Y$11:$AF$17,8,0))))/VLOOKUP($F$30,$Y$11:$AF$17,8,0))*$F$38</f>
        <v>1741.437055559897</v>
      </c>
      <c r="T33" s="102">
        <f>$F$33*(1.3+0.29/((VLOOKUP($F$32,$Y$20:$AG$28,9,0))/VLOOKUP($F$32,$Y$20:$AG$28,8,0)))+(1.3+0.29/((VLOOKUP($F$30,$Y$11:$AF$17,7,0))/VLOOKUP($F$30,$Y$11:$AF$17,8,0)))*$F$38</f>
        <v>10826.463363425022</v>
      </c>
      <c r="U33" s="102">
        <f>$F$33*(VLOOKUP($F$11,$Y$20:$AG$28,6,0)*K33)+(VLOOKUP($F$30,$Y$11:$AF$17,3,0)*K33)*$F$38</f>
        <v>7494.299999999999</v>
      </c>
      <c r="V33" s="102">
        <f>$F$33*(20*I33*(VLOOKUP($F$32,$Y$20:$AG$28,9,0)))+(20*I33*(VLOOKUP($F$30,$Y$10:$AF$17,7,0)/2000))*$F$38</f>
        <v>44644.92</v>
      </c>
      <c r="W33" s="102">
        <f>$F$33*(0.8*H33*(VLOOKUP($F$32,$Y$20:$AG$28,9,0))/2000)+(0.8*H33*((VLOOKUP($F$30,$Y$11:$AF$17,7,0))/2000/2000))*$F$38</f>
        <v>4.464492</v>
      </c>
      <c r="X33" s="151"/>
      <c r="Y33">
        <v>4</v>
      </c>
      <c r="Z33" s="52">
        <f aca="true" t="shared" si="1" ref="Z33:Z53">$AA$62*((VLOOKUP($AA$61,$Y$20:$AG$28,7,0)*VLOOKUP($AA$61,$Y$20:$AG$28,5,0)*Y33*Y33)/(VLOOKUP($AA$61,$Y$20:$AG$28,9,0)/VLOOKUP($AA$61,$Y$20:$AG$28,8,0))/VLOOKUP($AA$61,$Y$20:$AG$28,8,0))+((VLOOKUP($AA$63,$Y$11:$AF$17,4,0)*VLOOKUP($AA$63,$Y$11:$AF$17,5,0)*Y33*Y33)/(((VLOOKUP($AA$63,$Y$11:$AF$17,7,0)/2000))/((VLOOKUP($AA$63,$Y$11:$AF$17,8,0))))/VLOOKUP($AA$63,$Y$11:$AF$17,8,0))*$AD$58</f>
        <v>61.70052356020943</v>
      </c>
      <c r="AA33" s="52">
        <f aca="true" t="shared" si="2" ref="AA33:AA53">$AA$62*(1.3+0.29/((VLOOKUP($AA$61,$Y$20:$AG$28,9,0))/VLOOKUP($AA$61,$Y$20:$AG$28,8,0)))+(1.3+0.29/((VLOOKUP($AA$63,$Y$11:$AF$17,7,0))/VLOOKUP($AA$63,$Y$11:$AF$17,8,0)))*$AD$58</f>
        <v>9586.268339790577</v>
      </c>
      <c r="AB33" s="52">
        <f aca="true" t="shared" si="3" ref="AB33:AB53">$AA$62*(VLOOKUP($AA$61,$Y$20:$AG$28,6,0)*Y33)+(VLOOKUP($AA$63,$Y$11:$AF$17,3,0)*Y33)*$AD$58</f>
        <v>1327.08</v>
      </c>
      <c r="AC33" s="3">
        <f aca="true" t="shared" si="4" ref="AC33:AC53">$AA$62*(20*$AA$58*(VLOOKUP($AA$61,$Y$20:$AG$28,9,0)))+(20*$AA$58*(VLOOKUP($AA$63,$Y$10:$AF$17,7,0)/2000))*$AD$58</f>
        <v>0</v>
      </c>
      <c r="AD33" s="5">
        <f aca="true" t="shared" si="5" ref="AD33:AD53">$AA$62*(0.8*$AB$57*(VLOOKUP($AA$61,$Y$20:$AG$28,9,0))/2000)+(0.8*$AB$57*((VLOOKUP($AA$63,$Y$11:$AF$17,7,0))/2000/2000))*$AD$58</f>
        <v>0</v>
      </c>
      <c r="AE33" s="24">
        <f>SUM(Z33:AD33)</f>
        <v>10975.048863350787</v>
      </c>
      <c r="AF33" s="53">
        <f>Z33/AE33</f>
        <v>0.005621890556337048</v>
      </c>
      <c r="AG33" s="53">
        <f>AA33/AE33</f>
        <v>0.8734601967743584</v>
      </c>
      <c r="AH33" s="53">
        <f>AB33/AE33</f>
        <v>0.12091791266930449</v>
      </c>
      <c r="AI33" s="53">
        <f>AC33/AE33</f>
        <v>0</v>
      </c>
      <c r="AJ33" s="53">
        <f>AD33/AE33</f>
        <v>0</v>
      </c>
      <c r="AK33" t="e">
        <f>(375*$AA$62*(VLOOKUP($AA$61,#REF!,4,0))*0.83)/Y33</f>
        <v>#REF!</v>
      </c>
      <c r="AL33" s="1">
        <f aca="true" t="shared" si="6" ref="AL33:AM54">AE33*Y33/308</f>
        <v>142.5331021214388</v>
      </c>
    </row>
    <row r="34" spans="5:38" ht="12.75">
      <c r="E34" s="152" t="s">
        <v>216</v>
      </c>
      <c r="F34" s="138" t="s">
        <v>42</v>
      </c>
      <c r="G34" s="138" t="s">
        <v>42</v>
      </c>
      <c r="H34" s="178">
        <v>0</v>
      </c>
      <c r="I34" s="22">
        <v>0</v>
      </c>
      <c r="J34" s="6">
        <v>0</v>
      </c>
      <c r="K34" s="11">
        <v>20</v>
      </c>
      <c r="L34" s="64">
        <f>IF(O34&lt;=P34,O34/N34*308,P34/N34*308)</f>
        <v>20.000000000000004</v>
      </c>
      <c r="M34" s="155">
        <f>J34/L34</f>
        <v>0</v>
      </c>
      <c r="N34" s="102">
        <f>SUM(S34:W34)</f>
        <v>20062.200418984918</v>
      </c>
      <c r="O34" s="102">
        <f>N34*K34/308</f>
        <v>1302.7402869470727</v>
      </c>
      <c r="P34" s="102">
        <f>$F$33*(VLOOKUP($F$32,$Y$20:$AG$28,4,0))+IF(I34&gt;1.8%,$F$35*(VLOOKUP($F$34,$Y$20:$AG$28,4,0)),0)</f>
        <v>9000</v>
      </c>
      <c r="Q34" s="156">
        <f>$F$12*J34/K34*VLOOKUP($F$11,$Y$20:$AB$28,2,0)*O34/P34+$F$14*J34/K34*VLOOKUP($F$13,$Y$20:$AB$28,2,0)*O34/P34</f>
        <v>0</v>
      </c>
      <c r="R34" s="157">
        <f>Q34*$F$7</f>
        <v>0</v>
      </c>
      <c r="S34" s="102">
        <f>$F$33*((VLOOKUP($F$32,$Y$20:$AG$28,7,0)*VLOOKUP($F$32,$Y$20:$AG$28,5,0)*K34*K34)/(VLOOKUP($F$32,$Y$20:$AG$28,9,0)/VLOOKUP($F$32,$Y$20:$AG$28,8,0))/VLOOKUP($F$32,$Y$20:$AG$28,8,0))+((VLOOKUP($F$30,$Y$11:$AF$17,4,0)*VLOOKUP($F$30,$Y$11:$AF$17,5,0)*K34*K34)/(((VLOOKUP($F$30,$Y$11:$AF$17,7,0)/2000))/((VLOOKUP($F$30,$Y$11:$AF$17,8,0))))/VLOOKUP($F$30,$Y$11:$AF$17,8,0))*$F$38</f>
        <v>1741.437055559897</v>
      </c>
      <c r="T34" s="102">
        <f>$F$33*(1.3+0.29/((VLOOKUP($F$32,$Y$20:$AG$28,9,0))/VLOOKUP($F$32,$Y$20:$AG$28,8,0)))+(1.3+0.29/((VLOOKUP($F$30,$Y$11:$AF$17,7,0))/VLOOKUP($F$30,$Y$11:$AF$17,8,0)))*$F$38</f>
        <v>10826.463363425022</v>
      </c>
      <c r="U34" s="102">
        <f>$F$33*(VLOOKUP($F$11,$Y$20:$AG$28,6,0)*K34)+(VLOOKUP($F$30,$Y$11:$AF$17,3,0)*K34)*$F$38</f>
        <v>7494.299999999999</v>
      </c>
      <c r="V34" s="102">
        <f>$F$33*(20*I34*(VLOOKUP($F$32,$Y$20:$AG$28,9,0)))+(20*I34*(VLOOKUP($F$30,$Y$10:$AF$17,7,0)/2000))*$F$38</f>
        <v>0</v>
      </c>
      <c r="W34" s="102">
        <f>$F$33*(0.8*H34*(VLOOKUP($F$32,$Y$20:$AG$28,9,0))/2000)+(0.8*H34*((VLOOKUP($F$30,$Y$11:$AF$17,7,0))/2000/2000))*$F$38</f>
        <v>0</v>
      </c>
      <c r="X34" s="151"/>
      <c r="Y34">
        <v>5</v>
      </c>
      <c r="Z34" s="52">
        <f t="shared" si="1"/>
        <v>96.40706806282724</v>
      </c>
      <c r="AA34" s="52">
        <f t="shared" si="2"/>
        <v>9586.268339790577</v>
      </c>
      <c r="AB34" s="52">
        <f t="shared" si="3"/>
        <v>1658.8499999999997</v>
      </c>
      <c r="AC34" s="3">
        <f t="shared" si="4"/>
        <v>0</v>
      </c>
      <c r="AD34" s="5">
        <f t="shared" si="5"/>
        <v>0</v>
      </c>
      <c r="AE34" s="24">
        <f aca="true" t="shared" si="7" ref="AE34:AF54">SUM(Z34:AD34)</f>
        <v>11341.525407853404</v>
      </c>
      <c r="AF34" s="53">
        <f aca="true" t="shared" si="8" ref="AF34:AG54">Z34/AE34</f>
        <v>0.008500361688214397</v>
      </c>
      <c r="AG34" s="53">
        <f aca="true" t="shared" si="9" ref="AG34:AH54">AA34/AE34</f>
        <v>0.8452362442491727</v>
      </c>
      <c r="AH34" s="53">
        <f aca="true" t="shared" si="10" ref="AH34:AI54">AB34/AE34</f>
        <v>0.14626339406261296</v>
      </c>
      <c r="AI34" s="53">
        <f aca="true" t="shared" si="11" ref="AI34:AJ54">AC34/AE34</f>
        <v>0</v>
      </c>
      <c r="AJ34" s="53">
        <f aca="true" t="shared" si="12" ref="AJ34:AK54">AD34/AE34</f>
        <v>0</v>
      </c>
      <c r="AK34" s="1" t="e">
        <f>(375*$AA$62*(VLOOKUP($AA$61,#REF!,4,0))*0.83)/Y34</f>
        <v>#REF!</v>
      </c>
      <c r="AL34" s="1">
        <f t="shared" si="6"/>
        <v>184.1156722054124</v>
      </c>
    </row>
    <row r="35" spans="5:38" ht="12.75">
      <c r="E35" s="152" t="s">
        <v>214</v>
      </c>
      <c r="F35" s="6">
        <v>2</v>
      </c>
      <c r="G35" s="6">
        <v>0</v>
      </c>
      <c r="H35" s="178">
        <v>0</v>
      </c>
      <c r="I35" s="22">
        <v>0</v>
      </c>
      <c r="J35" s="6">
        <v>0</v>
      </c>
      <c r="K35" s="11">
        <f>$H$9</f>
        <v>20</v>
      </c>
      <c r="L35" s="64">
        <f>IF(O35&lt;=P35,O35/N35*308,P35/N35*308)</f>
        <v>20.000000000000004</v>
      </c>
      <c r="M35" s="155">
        <f>J35/L35</f>
        <v>0</v>
      </c>
      <c r="N35" s="102">
        <f>SUM(S35:W35)</f>
        <v>20062.200418984918</v>
      </c>
      <c r="O35" s="102">
        <f>N35*K35/308</f>
        <v>1302.7402869470727</v>
      </c>
      <c r="P35" s="102">
        <f>$F$33*(VLOOKUP($F$32,$Y$20:$AG$28,4,0))+IF(I35&gt;1.8%,$F$35*(VLOOKUP($F$34,$Y$20:$AG$28,4,0)),0)</f>
        <v>9000</v>
      </c>
      <c r="Q35" s="156">
        <f>$F$12*J35/K35*VLOOKUP($F$11,$Y$20:$AB$28,2,0)*O35/P35+$F$14*J35/K35*VLOOKUP($F$13,$Y$20:$AB$28,2,0)*O35/P35</f>
        <v>0</v>
      </c>
      <c r="R35" s="157">
        <f>Q35*$F$7</f>
        <v>0</v>
      </c>
      <c r="S35" s="102">
        <f>$F$33*((VLOOKUP($F$32,$Y$20:$AG$28,7,0)*VLOOKUP($F$32,$Y$20:$AG$28,5,0)*K35*K35)/(VLOOKUP($F$32,$Y$20:$AG$28,9,0)/VLOOKUP($F$32,$Y$20:$AG$28,8,0))/VLOOKUP($F$32,$Y$20:$AG$28,8,0))+((VLOOKUP($F$30,$Y$11:$AF$17,4,0)*VLOOKUP($F$30,$Y$11:$AF$17,5,0)*K35*K35)/(((VLOOKUP($F$30,$Y$11:$AF$17,7,0)/2000))/((VLOOKUP($F$30,$Y$11:$AF$17,8,0))))/VLOOKUP($F$30,$Y$11:$AF$17,8,0))*$F$38</f>
        <v>1741.437055559897</v>
      </c>
      <c r="T35" s="102">
        <f>$F$33*(1.3+0.29/((VLOOKUP($F$32,$Y$20:$AG$28,9,0))/VLOOKUP($F$32,$Y$20:$AG$28,8,0)))+(1.3+0.29/((VLOOKUP($F$30,$Y$11:$AF$17,7,0))/VLOOKUP($F$30,$Y$11:$AF$17,8,0)))*$F$38</f>
        <v>10826.463363425022</v>
      </c>
      <c r="U35" s="102">
        <f>$F$33*(VLOOKUP($F$11,$Y$20:$AG$28,6,0)*K35)+(VLOOKUP($F$30,$Y$11:$AF$17,3,0)*K35)*$F$38</f>
        <v>7494.299999999999</v>
      </c>
      <c r="V35" s="102">
        <f>$F$33*(20*I35*(VLOOKUP($F$32,$Y$20:$AG$28,9,0)))+(20*I35*(VLOOKUP($F$30,$Y$10:$AF$17,7,0)/2000))*$F$38</f>
        <v>0</v>
      </c>
      <c r="W35" s="102">
        <f>$F$33*(0.8*H35*(VLOOKUP($F$32,$Y$20:$AG$28,9,0))/2000)+(0.8*H35*((VLOOKUP($F$30,$Y$11:$AF$17,7,0))/2000/2000))*$F$38</f>
        <v>0</v>
      </c>
      <c r="X35" s="151"/>
      <c r="Y35">
        <v>10</v>
      </c>
      <c r="Z35" s="52">
        <f t="shared" si="1"/>
        <v>385.62827225130894</v>
      </c>
      <c r="AA35" s="52">
        <f t="shared" si="2"/>
        <v>9586.268339790577</v>
      </c>
      <c r="AB35" s="52">
        <f t="shared" si="3"/>
        <v>3317.6999999999994</v>
      </c>
      <c r="AC35" s="3">
        <f t="shared" si="4"/>
        <v>0</v>
      </c>
      <c r="AD35" s="5">
        <f t="shared" si="5"/>
        <v>0</v>
      </c>
      <c r="AE35" s="24">
        <f t="shared" si="7"/>
        <v>13289.596612041885</v>
      </c>
      <c r="AF35" s="53">
        <f t="shared" si="8"/>
        <v>0.02901730455098132</v>
      </c>
      <c r="AG35" s="53">
        <f t="shared" si="9"/>
        <v>0.7213362918107181</v>
      </c>
      <c r="AH35" s="53">
        <f t="shared" si="10"/>
        <v>0.2496464036383005</v>
      </c>
      <c r="AI35" s="53">
        <f t="shared" si="11"/>
        <v>0</v>
      </c>
      <c r="AJ35" s="53">
        <f t="shared" si="12"/>
        <v>0</v>
      </c>
      <c r="AK35" s="1" t="e">
        <f>(375*$AA$62*(VLOOKUP($AA$61,#REF!,4,0))*0.83)/Y35</f>
        <v>#REF!</v>
      </c>
      <c r="AL35" s="1">
        <f t="shared" si="6"/>
        <v>431.4804094818794</v>
      </c>
    </row>
    <row r="36" spans="5:38" ht="12.75">
      <c r="E36" s="152" t="s">
        <v>218</v>
      </c>
      <c r="F36" s="5">
        <f>VLOOKUP(F30,$Y$11:$AF$17,7,0)</f>
        <v>268000</v>
      </c>
      <c r="G36" s="5">
        <f>VLOOKUP(F30,$Y$11:$AF$17,6,0)</f>
        <v>67000</v>
      </c>
      <c r="H36" s="178">
        <v>0</v>
      </c>
      <c r="I36" s="22">
        <v>0</v>
      </c>
      <c r="J36" s="6">
        <v>0</v>
      </c>
      <c r="K36" s="11">
        <f>$H$9</f>
        <v>20</v>
      </c>
      <c r="L36" s="139">
        <f>IF(O36&lt;=P36,O36/N36*308,P36/N36*308)</f>
        <v>20.000000000000004</v>
      </c>
      <c r="M36" s="155">
        <f>J36/L36</f>
        <v>0</v>
      </c>
      <c r="N36" s="102">
        <f>SUM(S36:W36)</f>
        <v>20062.200418984918</v>
      </c>
      <c r="O36" s="102">
        <f>N36*K36/308</f>
        <v>1302.7402869470727</v>
      </c>
      <c r="P36" s="102">
        <f>$F$33*(VLOOKUP($F$32,$Y$20:$AG$28,4,0))+IF(I36&gt;1.8%,$F$35*(VLOOKUP($F$34,$Y$20:$AG$28,4,0)),0)</f>
        <v>9000</v>
      </c>
      <c r="Q36" s="156">
        <f>$F$12*J36/K36*VLOOKUP($F$11,$Y$20:$AB$28,2,0)*O36/P36+$F$14*J36/K36*VLOOKUP($F$13,$Y$20:$AB$28,2,0)*O36/P36</f>
        <v>0</v>
      </c>
      <c r="R36" s="157">
        <f>Q36*$F$7</f>
        <v>0</v>
      </c>
      <c r="S36" s="102">
        <f>$F$33*((VLOOKUP($F$32,$Y$20:$AG$28,7,0)*VLOOKUP($F$32,$Y$20:$AG$28,5,0)*K36*K36)/(VLOOKUP($F$32,$Y$20:$AG$28,9,0)/VLOOKUP($F$32,$Y$20:$AG$28,8,0))/VLOOKUP($F$32,$Y$20:$AG$28,8,0))+((VLOOKUP($F$30,$Y$11:$AF$17,4,0)*VLOOKUP($F$30,$Y$11:$AF$17,5,0)*K36*K36)/(((VLOOKUP($F$30,$Y$11:$AF$17,7,0)/2000))/((VLOOKUP($F$30,$Y$11:$AF$17,8,0))))/VLOOKUP($F$30,$Y$11:$AF$17,8,0))*$F$38</f>
        <v>1741.437055559897</v>
      </c>
      <c r="T36" s="102">
        <f>$F$33*(1.3+0.29/((VLOOKUP($F$32,$Y$20:$AG$28,9,0))/VLOOKUP($F$32,$Y$20:$AG$28,8,0)))+(1.3+0.29/((VLOOKUP($F$30,$Y$11:$AF$17,7,0))/VLOOKUP($F$30,$Y$11:$AF$17,8,0)))*$F$38</f>
        <v>10826.463363425022</v>
      </c>
      <c r="U36" s="102">
        <f>$F$33*(VLOOKUP($F$11,$Y$20:$AG$28,6,0)*K36)+(VLOOKUP($F$30,$Y$11:$AF$17,3,0)*K36)*$F$38</f>
        <v>7494.299999999999</v>
      </c>
      <c r="V36" s="102">
        <f>$F$33*(20*I36*(VLOOKUP($F$32,$Y$20:$AG$28,9,0)))+(20*I36*(VLOOKUP($F$30,$Y$10:$AF$17,7,0)/2000))*$F$38</f>
        <v>0</v>
      </c>
      <c r="W36" s="102">
        <f>$F$33*(0.8*H36*(VLOOKUP($F$32,$Y$20:$AG$28,9,0))/2000)+(0.8*H36*((VLOOKUP($F$30,$Y$11:$AF$17,7,0))/2000/2000))*$F$38</f>
        <v>0</v>
      </c>
      <c r="X36" s="151"/>
      <c r="Y36">
        <v>15</v>
      </c>
      <c r="Z36" s="52">
        <f t="shared" si="1"/>
        <v>867.6636125654451</v>
      </c>
      <c r="AA36" s="52">
        <f t="shared" si="2"/>
        <v>9586.268339790577</v>
      </c>
      <c r="AB36" s="52">
        <f t="shared" si="3"/>
        <v>4976.549999999999</v>
      </c>
      <c r="AC36" s="3">
        <f t="shared" si="4"/>
        <v>0</v>
      </c>
      <c r="AD36" s="5">
        <f t="shared" si="5"/>
        <v>0</v>
      </c>
      <c r="AE36" s="24">
        <f t="shared" si="7"/>
        <v>15430.481952356022</v>
      </c>
      <c r="AF36" s="53">
        <f t="shared" si="8"/>
        <v>0.056230493334199765</v>
      </c>
      <c r="AG36" s="53">
        <f t="shared" si="9"/>
        <v>0.6212552770153031</v>
      </c>
      <c r="AH36" s="53">
        <f t="shared" si="10"/>
        <v>0.322514229650497</v>
      </c>
      <c r="AI36" s="53">
        <f t="shared" si="11"/>
        <v>0</v>
      </c>
      <c r="AJ36" s="53">
        <f t="shared" si="12"/>
        <v>0</v>
      </c>
      <c r="AK36" s="1" t="e">
        <f>(375*$AA$62*(VLOOKUP($AA$61,#REF!,4,0))*0.83)/Y36</f>
        <v>#REF!</v>
      </c>
      <c r="AL36" s="1">
        <f t="shared" si="6"/>
        <v>751.4845106666894</v>
      </c>
    </row>
    <row r="37" spans="5:38" ht="12.75">
      <c r="E37" s="152" t="s">
        <v>217</v>
      </c>
      <c r="F37" s="5">
        <f>F31*F36+F33*2000*VLOOKUP(F32,$Y$20:$AG$28,9,0)+F35*2000*VLOOKUP(F34,$Y$20:$AG$28,9,0)</f>
        <v>16650000</v>
      </c>
      <c r="G37" s="5">
        <f>G31*G36+G33*2000*VLOOKUP(G32,$Y$20:$AG$28,9,0)+G35*2000*VLOOKUP(G34,$Y$20:$AG$28,9,0)</f>
        <v>4449000</v>
      </c>
      <c r="H37" s="11"/>
      <c r="I37" s="11"/>
      <c r="J37" s="11"/>
      <c r="K37" s="11"/>
      <c r="L37" s="11"/>
      <c r="M37" s="11"/>
      <c r="N37" s="11"/>
      <c r="O37" s="11"/>
      <c r="P37" s="11"/>
      <c r="Q37" s="11"/>
      <c r="R37" s="11"/>
      <c r="S37" s="11"/>
      <c r="T37" s="11"/>
      <c r="U37" s="11"/>
      <c r="V37" s="11"/>
      <c r="W37" s="11"/>
      <c r="X37" s="151"/>
      <c r="Y37">
        <v>20</v>
      </c>
      <c r="Z37" s="52">
        <f t="shared" si="1"/>
        <v>1542.5130890052358</v>
      </c>
      <c r="AA37" s="52">
        <f t="shared" si="2"/>
        <v>9586.268339790577</v>
      </c>
      <c r="AB37" s="52">
        <f t="shared" si="3"/>
        <v>6635.399999999999</v>
      </c>
      <c r="AC37" s="3">
        <f t="shared" si="4"/>
        <v>0</v>
      </c>
      <c r="AD37" s="5">
        <f t="shared" si="5"/>
        <v>0</v>
      </c>
      <c r="AE37" s="24">
        <f t="shared" si="7"/>
        <v>17764.18142879581</v>
      </c>
      <c r="AF37" s="53">
        <f t="shared" si="8"/>
        <v>0.08683277049314615</v>
      </c>
      <c r="AG37" s="53">
        <f t="shared" si="9"/>
        <v>0.5396403081231312</v>
      </c>
      <c r="AH37" s="53">
        <f t="shared" si="10"/>
        <v>0.3735269213837226</v>
      </c>
      <c r="AI37" s="53">
        <f t="shared" si="11"/>
        <v>0</v>
      </c>
      <c r="AJ37" s="53">
        <f t="shared" si="12"/>
        <v>0</v>
      </c>
      <c r="AK37" s="1" t="e">
        <f>(375*$AA$62*(VLOOKUP($AA$61,#REF!,4,0))*0.83)/Y37</f>
        <v>#REF!</v>
      </c>
      <c r="AL37" s="1">
        <f t="shared" si="6"/>
        <v>1153.5182745971306</v>
      </c>
    </row>
    <row r="38" spans="5:38" ht="12.75">
      <c r="E38" s="152" t="s">
        <v>219</v>
      </c>
      <c r="F38" s="5">
        <f>F37/2000</f>
        <v>8325</v>
      </c>
      <c r="G38" s="5">
        <f>G37/2000</f>
        <v>2224.5</v>
      </c>
      <c r="H38" s="11"/>
      <c r="I38" s="158" t="s">
        <v>221</v>
      </c>
      <c r="J38" s="158">
        <f>SUM(J32:J36)</f>
        <v>210</v>
      </c>
      <c r="K38" s="158"/>
      <c r="L38" s="158"/>
      <c r="M38" s="159">
        <f>SUM(M32:M36)</f>
        <v>11.530927518661198</v>
      </c>
      <c r="N38" s="158"/>
      <c r="O38" s="158"/>
      <c r="P38" s="158"/>
      <c r="Q38" s="160">
        <f>SUM(Q32:Q36)</f>
        <v>5355.046664490182</v>
      </c>
      <c r="R38" s="161">
        <f>SUM(R32:R36)</f>
        <v>6961.560663837236</v>
      </c>
      <c r="S38" s="11"/>
      <c r="T38" s="11"/>
      <c r="U38" s="11"/>
      <c r="V38" s="11"/>
      <c r="W38" s="11"/>
      <c r="X38" s="151"/>
      <c r="Y38">
        <v>25</v>
      </c>
      <c r="Z38" s="52">
        <f t="shared" si="1"/>
        <v>2410.1767015706805</v>
      </c>
      <c r="AA38" s="52">
        <f t="shared" si="2"/>
        <v>9586.268339790577</v>
      </c>
      <c r="AB38" s="52">
        <f t="shared" si="3"/>
        <v>8294.25</v>
      </c>
      <c r="AC38" s="3">
        <f t="shared" si="4"/>
        <v>0</v>
      </c>
      <c r="AD38" s="5">
        <f t="shared" si="5"/>
        <v>0</v>
      </c>
      <c r="AE38" s="24">
        <f t="shared" si="7"/>
        <v>20290.695041361258</v>
      </c>
      <c r="AF38" s="53">
        <f t="shared" si="8"/>
        <v>0.11878236288395704</v>
      </c>
      <c r="AG38" s="53">
        <f t="shared" si="9"/>
        <v>0.4724465238992353</v>
      </c>
      <c r="AH38" s="53">
        <f t="shared" si="10"/>
        <v>0.40877111321680765</v>
      </c>
      <c r="AI38" s="53">
        <f t="shared" si="11"/>
        <v>0</v>
      </c>
      <c r="AJ38" s="53">
        <f t="shared" si="12"/>
        <v>0</v>
      </c>
      <c r="AK38" s="1" t="e">
        <f>(375*$AA$62*(VLOOKUP($AA$61,#REF!,4,0))*0.83)/Y38</f>
        <v>#REF!</v>
      </c>
      <c r="AL38" s="1">
        <f t="shared" si="6"/>
        <v>1646.9720001104918</v>
      </c>
    </row>
    <row r="39" spans="5:38" ht="51">
      <c r="E39" s="152" t="s">
        <v>236</v>
      </c>
      <c r="F39" s="94">
        <f>G38/F38</f>
        <v>0.2672072072072072</v>
      </c>
      <c r="G39" s="11"/>
      <c r="H39" s="153" t="s">
        <v>225</v>
      </c>
      <c r="I39" s="153" t="s">
        <v>226</v>
      </c>
      <c r="J39" s="10" t="s">
        <v>101</v>
      </c>
      <c r="K39" s="154" t="s">
        <v>113</v>
      </c>
      <c r="L39" s="154" t="s">
        <v>112</v>
      </c>
      <c r="M39" s="10" t="s">
        <v>222</v>
      </c>
      <c r="N39" s="153" t="s">
        <v>230</v>
      </c>
      <c r="O39" s="10" t="s">
        <v>103</v>
      </c>
      <c r="P39" s="10" t="s">
        <v>104</v>
      </c>
      <c r="Q39" s="10" t="s">
        <v>106</v>
      </c>
      <c r="R39" s="10" t="s">
        <v>170</v>
      </c>
      <c r="S39" s="153" t="s">
        <v>240</v>
      </c>
      <c r="T39" s="153" t="s">
        <v>248</v>
      </c>
      <c r="U39" s="153" t="s">
        <v>249</v>
      </c>
      <c r="V39" s="153" t="s">
        <v>226</v>
      </c>
      <c r="W39" s="136" t="s">
        <v>250</v>
      </c>
      <c r="X39" s="151"/>
      <c r="Y39">
        <v>30</v>
      </c>
      <c r="Z39" s="52">
        <f t="shared" si="1"/>
        <v>3470.6544502617803</v>
      </c>
      <c r="AA39" s="52">
        <f t="shared" si="2"/>
        <v>9586.268339790577</v>
      </c>
      <c r="AB39" s="52">
        <f t="shared" si="3"/>
        <v>9953.099999999999</v>
      </c>
      <c r="AC39" s="3">
        <f t="shared" si="4"/>
        <v>0</v>
      </c>
      <c r="AD39" s="5">
        <f t="shared" si="5"/>
        <v>0</v>
      </c>
      <c r="AE39" s="24">
        <f t="shared" si="7"/>
        <v>23010.022790052353</v>
      </c>
      <c r="AF39" s="53">
        <f t="shared" si="8"/>
        <v>0.15083229086423186</v>
      </c>
      <c r="AG39" s="53">
        <f t="shared" si="9"/>
        <v>0.4166127268650465</v>
      </c>
      <c r="AH39" s="53">
        <f t="shared" si="10"/>
        <v>0.4325549822707217</v>
      </c>
      <c r="AI39" s="53">
        <f t="shared" si="11"/>
        <v>0</v>
      </c>
      <c r="AJ39" s="53">
        <f t="shared" si="12"/>
        <v>0</v>
      </c>
      <c r="AK39" s="1" t="e">
        <f>(375*$AA$62*(VLOOKUP($AA$61,#REF!,4,0))*0.83)/Y39</f>
        <v>#REF!</v>
      </c>
      <c r="AL39" s="1">
        <f t="shared" si="6"/>
        <v>2241.2359860440606</v>
      </c>
    </row>
    <row r="40" spans="5:38" ht="12.75">
      <c r="E40" s="152"/>
      <c r="F40" s="11"/>
      <c r="G40" s="11"/>
      <c r="H40" s="22">
        <v>0.02</v>
      </c>
      <c r="I40" s="22">
        <v>0.016</v>
      </c>
      <c r="J40" s="6">
        <v>20</v>
      </c>
      <c r="K40" s="11">
        <v>20</v>
      </c>
      <c r="L40" s="63">
        <f>IF(O40&lt;=P40,O40/N40*308,P40/N40*308)</f>
        <v>19.999999999999996</v>
      </c>
      <c r="M40" s="155">
        <f>J40/L40</f>
        <v>1.0000000000000002</v>
      </c>
      <c r="N40" s="102">
        <f>SUM(S40:W40)</f>
        <v>100938.8566705521</v>
      </c>
      <c r="O40" s="102">
        <f>N40*K40/308</f>
        <v>6554.471212373513</v>
      </c>
      <c r="P40" s="102">
        <f>$F$33*(VLOOKUP($F$32,$Y$20:$AG$28,4,0))+IF(I40&gt;1.8%,$F$35*(VLOOKUP($F$34,$Y$20:$AG$28,4,0)),0)</f>
        <v>9000</v>
      </c>
      <c r="Q40" s="156">
        <f>$F$12*J40/K40*VLOOKUP($F$11,$Y$20:$AB$28,2,0)*O40/P40+$F$14*J40/K40*VLOOKUP($F$13,$Y$20:$AB$28,2,0)*O40/P40</f>
        <v>610.6582346194655</v>
      </c>
      <c r="R40" s="157">
        <f>Q40*$F$7</f>
        <v>793.8557050053051</v>
      </c>
      <c r="S40" s="102">
        <f>$F$33*((VLOOKUP($F$32,$Y$20:$AG$28,7,0)*VLOOKUP($F$32,$Y$20:$AG$28,5,0)*K40*K40)/(VLOOKUP($F$32,$Y$20:$AG$28,9,0)/VLOOKUP($F$32,$Y$20:$AG$28,8,0))/VLOOKUP($F$32,$Y$20:$AG$28,8,0))+((VLOOKUP($F$30,$Y$11:$AF$17,4,0)*VLOOKUP($F$30,$Y$11:$AF$17,5,0)*K40*K40)/(((VLOOKUP($F$30,$Y$11:$AF$17,7,0)/2000))/((VLOOKUP($F$30,$Y$11:$AF$17,8,0))))/VLOOKUP($F$30,$Y$11:$AF$17,8,0))*$G$38</f>
        <v>466.70571227631484</v>
      </c>
      <c r="T40" s="102">
        <f>$F$33*(1.3+0.29/((VLOOKUP($F$32,$Y$20:$AG$28,9,0))/VLOOKUP($F$32,$Y$20:$AG$28,8,0)))+(1.3+0.29/((VLOOKUP($F$30,$Y$11:$AF$17,7,0))/VLOOKUP($F$30,$Y$11:$AF$17,8,0)))*$G$38</f>
        <v>2895.786958275768</v>
      </c>
      <c r="U40" s="102">
        <f>$F$33*(VLOOKUP($F$11,$Y$20:$AG$28,6,0)*K40)+(VLOOKUP($F$30,$Y$11:$AF$17,3,0)*K40)*$G$38</f>
        <v>2003.8499999999997</v>
      </c>
      <c r="V40" s="102">
        <f>$F$33*(20*I40*(VLOOKUP($F$32,$Y$20:$AG$28,9,0)))+(20*I40*(VLOOKUP($F$30,$Y$10:$AF$17,7,0)/2000))*$G$38</f>
        <v>95569.92000000001</v>
      </c>
      <c r="W40" s="102">
        <f>$F$12*(0.8*H40*(VLOOKUP($F$11,$Y$20:$AG$28,9,0))/2000)+(0.8*H40*((VLOOKUP($F$9,$Y$11:$AF$17,7,0))/2000/2000))*$G$17</f>
        <v>2.594</v>
      </c>
      <c r="X40" s="151"/>
      <c r="Y40">
        <v>35</v>
      </c>
      <c r="Z40" s="52">
        <f t="shared" si="1"/>
        <v>4723.946335078534</v>
      </c>
      <c r="AA40" s="52">
        <f t="shared" si="2"/>
        <v>9586.268339790577</v>
      </c>
      <c r="AB40" s="52">
        <f t="shared" si="3"/>
        <v>11611.95</v>
      </c>
      <c r="AC40" s="3">
        <f t="shared" si="4"/>
        <v>0</v>
      </c>
      <c r="AD40" s="5">
        <f t="shared" si="5"/>
        <v>0</v>
      </c>
      <c r="AE40" s="24">
        <f t="shared" si="7"/>
        <v>25922.164674869113</v>
      </c>
      <c r="AF40" s="53">
        <f t="shared" si="8"/>
        <v>0.18223579682981803</v>
      </c>
      <c r="AG40" s="53">
        <f t="shared" si="9"/>
        <v>0.36980971535468343</v>
      </c>
      <c r="AH40" s="53">
        <f t="shared" si="10"/>
        <v>0.44795448781549846</v>
      </c>
      <c r="AI40" s="53">
        <f t="shared" si="11"/>
        <v>0</v>
      </c>
      <c r="AJ40" s="53">
        <f t="shared" si="12"/>
        <v>0</v>
      </c>
      <c r="AK40" s="1" t="e">
        <f>(375*$AA$62*(VLOOKUP($AA$61,#REF!,4,0))*0.83)/Y40</f>
        <v>#REF!</v>
      </c>
      <c r="AL40" s="1">
        <f t="shared" si="6"/>
        <v>2945.7005312351266</v>
      </c>
    </row>
    <row r="41" spans="5:38" ht="12.75">
      <c r="E41" s="152"/>
      <c r="F41" s="11"/>
      <c r="G41" s="11"/>
      <c r="H41" s="22">
        <v>0.01</v>
      </c>
      <c r="I41" s="22">
        <v>0</v>
      </c>
      <c r="J41" s="6">
        <v>190</v>
      </c>
      <c r="K41" s="11">
        <v>20</v>
      </c>
      <c r="L41" s="64">
        <f>IF(O41&lt;=P41,O41/N41*308,P41/N41*308)</f>
        <v>20.000000000000004</v>
      </c>
      <c r="M41" s="155">
        <f>J41/L41</f>
        <v>9.499999999999998</v>
      </c>
      <c r="N41" s="102">
        <f>SUM(S41:W41)</f>
        <v>5367.639670552082</v>
      </c>
      <c r="O41" s="102">
        <f>N41*K41/308</f>
        <v>348.54803055533</v>
      </c>
      <c r="P41" s="102">
        <f>$F$33*(VLOOKUP($F$32,$Y$20:$AG$28,4,0))+IF(I41&gt;1.8%,$F$35*(VLOOKUP($F$34,$Y$20:$AG$28,4,0)),0)</f>
        <v>9000</v>
      </c>
      <c r="Q41" s="156">
        <f>$F$12*J41/K41*VLOOKUP($F$11,$Y$20:$AB$28,2,0)*O41/P41+$F$14*J41/K41*VLOOKUP($F$13,$Y$20:$AB$28,2,0)*O41/P41</f>
        <v>308.49405271067997</v>
      </c>
      <c r="R41" s="157">
        <f>Q41*$F$7</f>
        <v>401.042268523884</v>
      </c>
      <c r="S41" s="102">
        <f>$F$33*((VLOOKUP($F$32,$Y$20:$AG$28,7,0)*VLOOKUP($F$32,$Y$20:$AG$28,5,0)*K41*K41)/(VLOOKUP($F$32,$Y$20:$AG$28,9,0)/VLOOKUP($F$32,$Y$20:$AG$28,8,0))/VLOOKUP($F$32,$Y$20:$AG$28,8,0))+((VLOOKUP($F$30,$Y$11:$AF$17,4,0)*VLOOKUP($F$30,$Y$11:$AF$17,5,0)*K41*K41)/(((VLOOKUP($F$30,$Y$11:$AF$17,7,0)/2000))/((VLOOKUP($F$30,$Y$11:$AF$17,8,0))))/VLOOKUP($F$30,$Y$11:$AF$17,8,0))*$G$38</f>
        <v>466.70571227631484</v>
      </c>
      <c r="T41" s="102">
        <f>$F$33*(1.3+0.29/((VLOOKUP($F$32,$Y$20:$AG$28,9,0))/VLOOKUP($F$32,$Y$20:$AG$28,8,0)))+(1.3+0.29/((VLOOKUP($F$30,$Y$11:$AF$17,7,0))/VLOOKUP($F$30,$Y$11:$AF$17,8,0)))*$G$38</f>
        <v>2895.786958275768</v>
      </c>
      <c r="U41" s="102">
        <f>$F$33*(VLOOKUP($F$11,$Y$20:$AG$28,6,0)*K41)+(VLOOKUP($F$30,$Y$11:$AF$17,3,0)*K41)*$G$38</f>
        <v>2003.8499999999997</v>
      </c>
      <c r="V41" s="102">
        <f>$F$33*(20*I41*(VLOOKUP($F$32,$Y$20:$AG$28,9,0)))+(20*I41*(VLOOKUP($F$30,$Y$10:$AF$17,7,0)/2000))*$G$38</f>
        <v>0</v>
      </c>
      <c r="W41" s="102">
        <f>$F$12*(0.8*H41*(VLOOKUP($F$11,$Y$20:$AG$28,9,0))/2000)+(0.8*H41*((VLOOKUP($F$9,$Y$11:$AF$17,7,0))/2000/2000))*$G$17</f>
        <v>1.297</v>
      </c>
      <c r="X41" s="151"/>
      <c r="Y41">
        <v>40</v>
      </c>
      <c r="Z41" s="52">
        <f t="shared" si="1"/>
        <v>6170.052356020943</v>
      </c>
      <c r="AA41" s="52">
        <f t="shared" si="2"/>
        <v>9586.268339790577</v>
      </c>
      <c r="AB41" s="52">
        <f t="shared" si="3"/>
        <v>13270.799999999997</v>
      </c>
      <c r="AC41" s="3">
        <f t="shared" si="4"/>
        <v>0</v>
      </c>
      <c r="AD41" s="5">
        <f t="shared" si="5"/>
        <v>0</v>
      </c>
      <c r="AE41" s="24">
        <f t="shared" si="7"/>
        <v>29027.120695811514</v>
      </c>
      <c r="AF41" s="53">
        <f t="shared" si="8"/>
        <v>0.21256163918839027</v>
      </c>
      <c r="AG41" s="53">
        <f t="shared" si="9"/>
        <v>0.3302521266318307</v>
      </c>
      <c r="AH41" s="53">
        <f t="shared" si="10"/>
        <v>0.45718623417977916</v>
      </c>
      <c r="AI41" s="53">
        <f t="shared" si="11"/>
        <v>0</v>
      </c>
      <c r="AJ41" s="53">
        <f t="shared" si="12"/>
        <v>0</v>
      </c>
      <c r="AK41" s="1" t="e">
        <f>(375*$AA$62*(VLOOKUP($AA$61,#REF!,4,0))*0.83)/Y41</f>
        <v>#REF!</v>
      </c>
      <c r="AL41" s="1">
        <f t="shared" si="6"/>
        <v>3769.755934520976</v>
      </c>
    </row>
    <row r="42" spans="5:38" ht="12.75">
      <c r="E42" s="152"/>
      <c r="F42" s="11"/>
      <c r="G42" s="11"/>
      <c r="H42" s="22"/>
      <c r="I42" s="22"/>
      <c r="J42" s="6">
        <v>0</v>
      </c>
      <c r="K42" s="11">
        <f>$H$9</f>
        <v>20</v>
      </c>
      <c r="L42" s="64">
        <f>IF(O42&lt;=P42,O42/N42*308,P42/N42*308)</f>
        <v>20.000000000000004</v>
      </c>
      <c r="M42" s="155">
        <f>J42/L42</f>
        <v>0</v>
      </c>
      <c r="N42" s="102">
        <f>SUM(S42:W42)</f>
        <v>5366.342670552082</v>
      </c>
      <c r="O42" s="102">
        <f>N42*K42/308</f>
        <v>348.46380977610926</v>
      </c>
      <c r="P42" s="102">
        <f>$F$33*(VLOOKUP($F$32,$Y$20:$AG$28,4,0))+IF(I42&gt;1.8%,$F$35*(VLOOKUP($F$34,$Y$20:$AG$28,4,0)),0)</f>
        <v>9000</v>
      </c>
      <c r="Q42" s="156">
        <f>$F$12*J42/K42*VLOOKUP($F$11,$Y$20:$AB$28,2,0)*O42/P42+$F$14*J42/K42*VLOOKUP($F$13,$Y$20:$AB$28,2,0)*O42/P42</f>
        <v>0</v>
      </c>
      <c r="R42" s="157">
        <f>Q42*$F$7</f>
        <v>0</v>
      </c>
      <c r="S42" s="102">
        <f>$F$33*((VLOOKUP($F$32,$Y$20:$AG$28,7,0)*VLOOKUP($F$32,$Y$20:$AG$28,5,0)*K42*K42)/(VLOOKUP($F$32,$Y$20:$AG$28,9,0)/VLOOKUP($F$32,$Y$20:$AG$28,8,0))/VLOOKUP($F$32,$Y$20:$AG$28,8,0))+((VLOOKUP($F$30,$Y$11:$AF$17,4,0)*VLOOKUP($F$30,$Y$11:$AF$17,5,0)*K42*K42)/(((VLOOKUP($F$30,$Y$11:$AF$17,7,0)/2000))/((VLOOKUP($F$30,$Y$11:$AF$17,8,0))))/VLOOKUP($F$30,$Y$11:$AF$17,8,0))*$G$38</f>
        <v>466.70571227631484</v>
      </c>
      <c r="T42" s="102">
        <f>$F$33*(1.3+0.29/((VLOOKUP($F$32,$Y$20:$AG$28,9,0))/VLOOKUP($F$32,$Y$20:$AG$28,8,0)))+(1.3+0.29/((VLOOKUP($F$30,$Y$11:$AF$17,7,0))/VLOOKUP($F$30,$Y$11:$AF$17,8,0)))*$G$38</f>
        <v>2895.786958275768</v>
      </c>
      <c r="U42" s="102">
        <f>$F$33*(VLOOKUP($F$11,$Y$20:$AG$28,6,0)*K42)+(VLOOKUP($F$30,$Y$11:$AF$17,3,0)*K42)*$G$38</f>
        <v>2003.8499999999997</v>
      </c>
      <c r="V42" s="102">
        <f>$F$33*(20*I42*(VLOOKUP($F$32,$Y$20:$AG$28,9,0)))+(20*I42*(VLOOKUP($F$30,$Y$10:$AF$17,7,0)/2000))*$G$38</f>
        <v>0</v>
      </c>
      <c r="W42" s="102">
        <f>$F$12*(0.8*H42*(VLOOKUP($F$11,$Y$20:$AG$28,9,0))/2000)+(0.8*H42*((VLOOKUP($F$9,$Y$11:$AF$17,7,0))/2000/2000))*$G$17</f>
        <v>0</v>
      </c>
      <c r="X42" s="151"/>
      <c r="Y42">
        <v>45</v>
      </c>
      <c r="Z42" s="52">
        <f t="shared" si="1"/>
        <v>7808.9725130890065</v>
      </c>
      <c r="AA42" s="52">
        <f t="shared" si="2"/>
        <v>9586.268339790577</v>
      </c>
      <c r="AB42" s="52">
        <f t="shared" si="3"/>
        <v>14929.65</v>
      </c>
      <c r="AC42" s="3">
        <f t="shared" si="4"/>
        <v>0</v>
      </c>
      <c r="AD42" s="5">
        <f t="shared" si="5"/>
        <v>0</v>
      </c>
      <c r="AE42" s="24">
        <f t="shared" si="7"/>
        <v>32324.89085287958</v>
      </c>
      <c r="AF42" s="53">
        <f t="shared" si="8"/>
        <v>0.24157769158850428</v>
      </c>
      <c r="AG42" s="53">
        <f t="shared" si="9"/>
        <v>0.2965599600450502</v>
      </c>
      <c r="AH42" s="53">
        <f t="shared" si="10"/>
        <v>0.46186234836644563</v>
      </c>
      <c r="AI42" s="53">
        <f t="shared" si="11"/>
        <v>0</v>
      </c>
      <c r="AJ42" s="53">
        <f t="shared" si="12"/>
        <v>0</v>
      </c>
      <c r="AK42" s="1" t="e">
        <f>(375*$AA$62*(VLOOKUP($AA$61,#REF!,4,0))*0.83)/Y42</f>
        <v>#REF!</v>
      </c>
      <c r="AL42" s="1">
        <f t="shared" si="6"/>
        <v>4722.792494738899</v>
      </c>
    </row>
    <row r="43" spans="5:38" ht="12.75">
      <c r="E43" s="152"/>
      <c r="F43" s="11"/>
      <c r="G43" s="11"/>
      <c r="H43" s="22"/>
      <c r="I43" s="22"/>
      <c r="J43" s="6">
        <v>0</v>
      </c>
      <c r="K43" s="11">
        <f>$H$9</f>
        <v>20</v>
      </c>
      <c r="L43" s="64">
        <f>IF(O43&lt;=P43,O43/N43*308,P43/N43*308)</f>
        <v>20.000000000000004</v>
      </c>
      <c r="M43" s="155">
        <f>J43/L43</f>
        <v>0</v>
      </c>
      <c r="N43" s="102">
        <f>SUM(S43:W43)</f>
        <v>5366.342670552082</v>
      </c>
      <c r="O43" s="102">
        <f>N43*K43/308</f>
        <v>348.46380977610926</v>
      </c>
      <c r="P43" s="102">
        <f>$F$33*(VLOOKUP($F$32,$Y$20:$AG$28,4,0))+IF(I43&gt;1.8%,$F$35*(VLOOKUP($F$34,$Y$20:$AG$28,4,0)),0)</f>
        <v>9000</v>
      </c>
      <c r="Q43" s="156">
        <f>$F$12*J43/K43*VLOOKUP($F$11,$Y$20:$AB$28,2,0)*O43/P43+$F$14*J43/K43*VLOOKUP($F$13,$Y$20:$AB$28,2,0)*O43/P43</f>
        <v>0</v>
      </c>
      <c r="R43" s="157">
        <f>Q43*$F$7</f>
        <v>0</v>
      </c>
      <c r="S43" s="102">
        <f>$F$33*((VLOOKUP($F$32,$Y$20:$AG$28,7,0)*VLOOKUP($F$32,$Y$20:$AG$28,5,0)*K43*K43)/(VLOOKUP($F$32,$Y$20:$AG$28,9,0)/VLOOKUP($F$32,$Y$20:$AG$28,8,0))/VLOOKUP($F$32,$Y$20:$AG$28,8,0))+((VLOOKUP($F$30,$Y$11:$AF$17,4,0)*VLOOKUP($F$30,$Y$11:$AF$17,5,0)*K43*K43)/(((VLOOKUP($F$30,$Y$11:$AF$17,7,0)/2000))/((VLOOKUP($F$30,$Y$11:$AF$17,8,0))))/VLOOKUP($F$30,$Y$11:$AF$17,8,0))*$G$38</f>
        <v>466.70571227631484</v>
      </c>
      <c r="T43" s="102">
        <f>$F$33*(1.3+0.29/((VLOOKUP($F$32,$Y$20:$AG$28,9,0))/VLOOKUP($F$32,$Y$20:$AG$28,8,0)))+(1.3+0.29/((VLOOKUP($F$30,$Y$11:$AF$17,7,0))/VLOOKUP($F$30,$Y$11:$AF$17,8,0)))*$G$38</f>
        <v>2895.786958275768</v>
      </c>
      <c r="U43" s="102">
        <f>$F$33*(VLOOKUP($F$11,$Y$20:$AG$28,6,0)*K43)+(VLOOKUP($F$30,$Y$11:$AF$17,3,0)*K43)*$G$38</f>
        <v>2003.8499999999997</v>
      </c>
      <c r="V43" s="102">
        <f>$F$33*(20*I43*(VLOOKUP($F$32,$Y$20:$AG$28,9,0)))+(20*I43*(VLOOKUP($F$30,$Y$10:$AF$17,7,0)/2000))*$G$38</f>
        <v>0</v>
      </c>
      <c r="W43" s="102">
        <f>$F$12*(0.8*H43*(VLOOKUP($F$11,$Y$20:$AG$28,9,0))/2000)+(0.8*H43*((VLOOKUP($F$9,$Y$11:$AF$17,7,0))/2000/2000))*$G$17</f>
        <v>0</v>
      </c>
      <c r="X43" s="151"/>
      <c r="Y43">
        <v>50</v>
      </c>
      <c r="Z43" s="52">
        <f t="shared" si="1"/>
        <v>9640.706806282722</v>
      </c>
      <c r="AA43" s="52">
        <f t="shared" si="2"/>
        <v>9586.268339790577</v>
      </c>
      <c r="AB43" s="52">
        <f t="shared" si="3"/>
        <v>16588.5</v>
      </c>
      <c r="AC43" s="3">
        <f t="shared" si="4"/>
        <v>0</v>
      </c>
      <c r="AD43" s="5">
        <f t="shared" si="5"/>
        <v>0</v>
      </c>
      <c r="AE43" s="24">
        <f t="shared" si="7"/>
        <v>35815.475146073295</v>
      </c>
      <c r="AF43" s="53">
        <f t="shared" si="8"/>
        <v>0.2691771299127858</v>
      </c>
      <c r="AG43" s="53">
        <f t="shared" si="9"/>
        <v>0.2676571593897055</v>
      </c>
      <c r="AH43" s="53">
        <f t="shared" si="10"/>
        <v>0.4631657106975088</v>
      </c>
      <c r="AI43" s="53">
        <f t="shared" si="11"/>
        <v>0</v>
      </c>
      <c r="AJ43" s="53">
        <f t="shared" si="12"/>
        <v>0</v>
      </c>
      <c r="AK43" s="1" t="e">
        <f>(375*$AA$62*(VLOOKUP($AA$61,#REF!,4,0))*0.83)/Y43</f>
        <v>#REF!</v>
      </c>
      <c r="AL43" s="1">
        <f t="shared" si="6"/>
        <v>5814.200510726184</v>
      </c>
    </row>
    <row r="44" spans="5:38" ht="12.75">
      <c r="E44" s="152"/>
      <c r="F44" s="11"/>
      <c r="G44" s="11"/>
      <c r="H44" s="22"/>
      <c r="I44" s="22"/>
      <c r="J44" s="6">
        <v>0</v>
      </c>
      <c r="K44" s="11">
        <f>$H$9</f>
        <v>20</v>
      </c>
      <c r="L44" s="139">
        <f>IF(O44&lt;=P44,O44/N44*308,P44/N44*308)</f>
        <v>20.000000000000004</v>
      </c>
      <c r="M44" s="155">
        <f>J44/L44</f>
        <v>0</v>
      </c>
      <c r="N44" s="102">
        <f>SUM(S44:W44)</f>
        <v>5366.342670552082</v>
      </c>
      <c r="O44" s="102">
        <f>N44*K44/308</f>
        <v>348.46380977610926</v>
      </c>
      <c r="P44" s="102">
        <f>$F$33*(VLOOKUP($F$32,$Y$20:$AG$28,4,0))+IF(I44&gt;1.8%,$F$35*(VLOOKUP($F$34,$Y$20:$AG$28,4,0)),0)</f>
        <v>9000</v>
      </c>
      <c r="Q44" s="156">
        <f>$F$12*J44/K44*VLOOKUP($F$11,$Y$20:$AB$28,2,0)*O44/P44+$F$14*J44/K44*VLOOKUP($F$13,$Y$20:$AB$28,2,0)*O44/P44</f>
        <v>0</v>
      </c>
      <c r="R44" s="157">
        <f>Q44*$F$7</f>
        <v>0</v>
      </c>
      <c r="S44" s="102">
        <f>$F$33*((VLOOKUP($F$32,$Y$20:$AG$28,7,0)*VLOOKUP($F$32,$Y$20:$AG$28,5,0)*K44*K44)/(VLOOKUP($F$32,$Y$20:$AG$28,9,0)/VLOOKUP($F$32,$Y$20:$AG$28,8,0))/VLOOKUP($F$32,$Y$20:$AG$28,8,0))+((VLOOKUP($F$30,$Y$11:$AF$17,4,0)*VLOOKUP($F$30,$Y$11:$AF$17,5,0)*K44*K44)/(((VLOOKUP($F$30,$Y$11:$AF$17,7,0)/2000))/((VLOOKUP($F$30,$Y$11:$AF$17,8,0))))/VLOOKUP($F$30,$Y$11:$AF$17,8,0))*$G$38</f>
        <v>466.70571227631484</v>
      </c>
      <c r="T44" s="102">
        <f>$F$33*(1.3+0.29/((VLOOKUP($F$32,$Y$20:$AG$28,9,0))/VLOOKUP($F$32,$Y$20:$AG$28,8,0)))+(1.3+0.29/((VLOOKUP($F$30,$Y$11:$AF$17,7,0))/VLOOKUP($F$30,$Y$11:$AF$17,8,0)))*$G$38</f>
        <v>2895.786958275768</v>
      </c>
      <c r="U44" s="102">
        <f>$F$33*(VLOOKUP($F$11,$Y$20:$AG$28,6,0)*K44)+(VLOOKUP($F$30,$Y$11:$AF$17,3,0)*K44)*$G$38</f>
        <v>2003.8499999999997</v>
      </c>
      <c r="V44" s="102">
        <f>$F$33*(20*I44*(VLOOKUP($F$32,$Y$20:$AG$28,9,0)))+(20*I44*(VLOOKUP($F$30,$Y$10:$AF$17,7,0)/2000))*$G$38</f>
        <v>0</v>
      </c>
      <c r="W44" s="102">
        <f>$F$12*(0.8*H44*(VLOOKUP($F$11,$Y$20:$AG$28,9,0))/2000)+(0.8*H44*((VLOOKUP($F$9,$Y$11:$AF$17,7,0))/2000/2000))*$G$17</f>
        <v>0</v>
      </c>
      <c r="X44" s="151"/>
      <c r="Y44">
        <v>55</v>
      </c>
      <c r="Z44" s="52">
        <f t="shared" si="1"/>
        <v>11665.255235602097</v>
      </c>
      <c r="AA44" s="52">
        <f t="shared" si="2"/>
        <v>9586.268339790577</v>
      </c>
      <c r="AB44" s="52">
        <f t="shared" si="3"/>
        <v>18247.35</v>
      </c>
      <c r="AC44" s="3">
        <f t="shared" si="4"/>
        <v>0</v>
      </c>
      <c r="AD44" s="5">
        <f t="shared" si="5"/>
        <v>0</v>
      </c>
      <c r="AE44" s="24">
        <f t="shared" si="7"/>
        <v>39498.873575392674</v>
      </c>
      <c r="AF44" s="53">
        <f t="shared" si="8"/>
        <v>0.29533133934405187</v>
      </c>
      <c r="AG44" s="53">
        <f t="shared" si="9"/>
        <v>0.24269725873303655</v>
      </c>
      <c r="AH44" s="53">
        <f t="shared" si="10"/>
        <v>0.46197140192291153</v>
      </c>
      <c r="AI44" s="53">
        <f t="shared" si="11"/>
        <v>0</v>
      </c>
      <c r="AJ44" s="53">
        <f t="shared" si="12"/>
        <v>0</v>
      </c>
      <c r="AK44" s="1" t="e">
        <f>(375*$AA$62*(VLOOKUP($AA$61,#REF!,4,0))*0.83)/Y44</f>
        <v>#REF!</v>
      </c>
      <c r="AL44" s="1">
        <f t="shared" si="6"/>
        <v>7053.37028132012</v>
      </c>
    </row>
    <row r="45" spans="5:38" ht="12.75">
      <c r="E45" s="152"/>
      <c r="F45" s="11"/>
      <c r="G45" s="11"/>
      <c r="H45" s="11"/>
      <c r="I45" s="11"/>
      <c r="J45" s="11"/>
      <c r="K45" s="11"/>
      <c r="L45" s="11"/>
      <c r="M45" s="11"/>
      <c r="N45" s="11"/>
      <c r="O45" s="11"/>
      <c r="P45" s="11"/>
      <c r="Q45" s="11"/>
      <c r="R45" s="11"/>
      <c r="S45" s="11"/>
      <c r="T45" s="11"/>
      <c r="U45" s="11"/>
      <c r="V45" s="11"/>
      <c r="W45" s="11"/>
      <c r="X45" s="151"/>
      <c r="Y45">
        <v>60</v>
      </c>
      <c r="Z45" s="52">
        <f t="shared" si="1"/>
        <v>13882.617801047121</v>
      </c>
      <c r="AA45" s="52">
        <f t="shared" si="2"/>
        <v>9586.268339790577</v>
      </c>
      <c r="AB45" s="52">
        <f t="shared" si="3"/>
        <v>19906.199999999997</v>
      </c>
      <c r="AC45" s="3">
        <f t="shared" si="4"/>
        <v>0</v>
      </c>
      <c r="AD45" s="5">
        <f t="shared" si="5"/>
        <v>0</v>
      </c>
      <c r="AE45" s="24">
        <f t="shared" si="7"/>
        <v>43375.086140837695</v>
      </c>
      <c r="AF45" s="53">
        <f t="shared" si="8"/>
        <v>0.3200597171374058</v>
      </c>
      <c r="AG45" s="53">
        <f t="shared" si="9"/>
        <v>0.2210086294391262</v>
      </c>
      <c r="AH45" s="53">
        <f t="shared" si="10"/>
        <v>0.45893165342346803</v>
      </c>
      <c r="AI45" s="53">
        <f t="shared" si="11"/>
        <v>0</v>
      </c>
      <c r="AJ45" s="53">
        <f t="shared" si="12"/>
        <v>0</v>
      </c>
      <c r="AK45" s="1" t="e">
        <f>(375*$AA$62*(VLOOKUP($AA$61,#REF!,4,0))*0.83)/Y45</f>
        <v>#REF!</v>
      </c>
      <c r="AL45" s="1">
        <f t="shared" si="6"/>
        <v>8449.692105357992</v>
      </c>
    </row>
    <row r="46" spans="5:38" ht="13.5" thickBot="1">
      <c r="E46" s="152"/>
      <c r="F46" s="11"/>
      <c r="G46" s="11"/>
      <c r="H46" s="11"/>
      <c r="I46" s="11"/>
      <c r="J46" s="158">
        <f>SUM(J40:J44)</f>
        <v>210</v>
      </c>
      <c r="K46" s="158"/>
      <c r="L46" s="158"/>
      <c r="M46" s="159">
        <f>SUM(M40:M44)</f>
        <v>10.499999999999998</v>
      </c>
      <c r="N46" s="158"/>
      <c r="O46" s="158"/>
      <c r="P46" s="158"/>
      <c r="Q46" s="160">
        <f>SUM(Q40:Q44)</f>
        <v>919.1522873301454</v>
      </c>
      <c r="R46" s="161">
        <f>SUM(R40:R44)</f>
        <v>1194.8979735291891</v>
      </c>
      <c r="S46" s="11"/>
      <c r="T46" s="11"/>
      <c r="U46" s="11"/>
      <c r="V46" s="11"/>
      <c r="W46" s="11"/>
      <c r="X46" s="151"/>
      <c r="Y46">
        <v>65</v>
      </c>
      <c r="Z46" s="52">
        <f t="shared" si="1"/>
        <v>16292.794502617804</v>
      </c>
      <c r="AA46" s="52">
        <f t="shared" si="2"/>
        <v>9586.268339790577</v>
      </c>
      <c r="AB46" s="52">
        <f t="shared" si="3"/>
        <v>21565.05</v>
      </c>
      <c r="AC46" s="3">
        <f t="shared" si="4"/>
        <v>0</v>
      </c>
      <c r="AD46" s="5">
        <f t="shared" si="5"/>
        <v>0</v>
      </c>
      <c r="AE46" s="24">
        <f t="shared" si="7"/>
        <v>47444.11284240838</v>
      </c>
      <c r="AF46" s="53">
        <f t="shared" si="8"/>
        <v>0.34341024684635546</v>
      </c>
      <c r="AG46" s="53">
        <f t="shared" si="9"/>
        <v>0.2020539064906236</v>
      </c>
      <c r="AH46" s="53">
        <f t="shared" si="10"/>
        <v>0.454535846663021</v>
      </c>
      <c r="AI46" s="53">
        <f t="shared" si="11"/>
        <v>0</v>
      </c>
      <c r="AJ46" s="53">
        <f t="shared" si="12"/>
        <v>0</v>
      </c>
      <c r="AK46" s="1" t="e">
        <f>(375*$AA$62*(VLOOKUP($AA$61,#REF!,4,0))*0.83)/Y46</f>
        <v>#REF!</v>
      </c>
      <c r="AL46" s="1">
        <f t="shared" si="6"/>
        <v>10012.556281677094</v>
      </c>
    </row>
    <row r="47" spans="5:38" ht="14.25" thickBot="1" thickTop="1">
      <c r="E47" s="152"/>
      <c r="F47" s="11"/>
      <c r="G47" s="11"/>
      <c r="H47" s="11"/>
      <c r="I47" s="158" t="s">
        <v>237</v>
      </c>
      <c r="J47" s="158"/>
      <c r="K47" s="11"/>
      <c r="L47" s="11"/>
      <c r="M47" s="168">
        <f>M38+M46</f>
        <v>22.030927518661194</v>
      </c>
      <c r="N47" s="155"/>
      <c r="O47" s="155"/>
      <c r="P47" s="155"/>
      <c r="Q47" s="155">
        <f>Q38+Q46</f>
        <v>6274.198951820327</v>
      </c>
      <c r="R47" s="177">
        <f>R38+R46</f>
        <v>8156.458637366424</v>
      </c>
      <c r="S47" s="11"/>
      <c r="T47" s="11"/>
      <c r="U47" s="11"/>
      <c r="V47" s="11"/>
      <c r="W47" s="11"/>
      <c r="X47" s="151"/>
      <c r="Y47">
        <v>70</v>
      </c>
      <c r="Z47" s="52">
        <f t="shared" si="1"/>
        <v>18895.785340314134</v>
      </c>
      <c r="AA47" s="52">
        <f t="shared" si="2"/>
        <v>9586.268339790577</v>
      </c>
      <c r="AB47" s="52">
        <f t="shared" si="3"/>
        <v>23223.9</v>
      </c>
      <c r="AC47" s="3">
        <f t="shared" si="4"/>
        <v>0</v>
      </c>
      <c r="AD47" s="5">
        <f t="shared" si="5"/>
        <v>0</v>
      </c>
      <c r="AE47" s="24">
        <f t="shared" si="7"/>
        <v>51705.953680104714</v>
      </c>
      <c r="AF47" s="53">
        <f t="shared" si="8"/>
        <v>0.3654469939229611</v>
      </c>
      <c r="AG47" s="53">
        <f t="shared" si="9"/>
        <v>0.18539970075978227</v>
      </c>
      <c r="AH47" s="53">
        <f t="shared" si="10"/>
        <v>0.4491533053172566</v>
      </c>
      <c r="AI47" s="53">
        <f t="shared" si="11"/>
        <v>0</v>
      </c>
      <c r="AJ47" s="53">
        <f t="shared" si="12"/>
        <v>0</v>
      </c>
      <c r="AK47" s="1" t="e">
        <f>(375*$AA$62*(VLOOKUP($AA$61,#REF!,4,0))*0.83)/Y47</f>
        <v>#REF!</v>
      </c>
      <c r="AL47" s="1">
        <f t="shared" si="6"/>
        <v>11751.353109114709</v>
      </c>
    </row>
    <row r="48" spans="5:38" ht="13.5" thickTop="1">
      <c r="E48" s="152"/>
      <c r="F48" s="11"/>
      <c r="G48" s="11"/>
      <c r="H48" s="11"/>
      <c r="I48" s="158"/>
      <c r="J48" s="158"/>
      <c r="K48" s="11"/>
      <c r="L48" s="11"/>
      <c r="M48" s="155"/>
      <c r="N48" s="155"/>
      <c r="O48" s="155"/>
      <c r="P48" s="155"/>
      <c r="Q48" s="155"/>
      <c r="R48" s="163"/>
      <c r="S48" s="11"/>
      <c r="T48" s="11"/>
      <c r="U48" s="11"/>
      <c r="V48" s="11"/>
      <c r="W48" s="11"/>
      <c r="X48" s="151"/>
      <c r="Y48">
        <v>75</v>
      </c>
      <c r="Z48" s="52">
        <f t="shared" si="1"/>
        <v>21691.590314136127</v>
      </c>
      <c r="AA48" s="52">
        <f t="shared" si="2"/>
        <v>9586.268339790577</v>
      </c>
      <c r="AB48" s="52">
        <f t="shared" si="3"/>
        <v>24882.75</v>
      </c>
      <c r="AC48" s="3">
        <f t="shared" si="4"/>
        <v>0</v>
      </c>
      <c r="AD48" s="5">
        <f t="shared" si="5"/>
        <v>0</v>
      </c>
      <c r="AE48" s="24">
        <f t="shared" si="7"/>
        <v>56160.608653926705</v>
      </c>
      <c r="AF48" s="53">
        <f t="shared" si="8"/>
        <v>0.38624208024176154</v>
      </c>
      <c r="AG48" s="53">
        <f t="shared" si="9"/>
        <v>0.17069381136631098</v>
      </c>
      <c r="AH48" s="53">
        <f t="shared" si="10"/>
        <v>0.44306410839192745</v>
      </c>
      <c r="AI48" s="53">
        <f t="shared" si="11"/>
        <v>0</v>
      </c>
      <c r="AJ48" s="53">
        <f t="shared" si="12"/>
        <v>0</v>
      </c>
      <c r="AK48" s="1" t="e">
        <f>(375*$AA$62*(VLOOKUP($AA$61,#REF!,4,0))*0.83)/Y48</f>
        <v>#REF!</v>
      </c>
      <c r="AL48" s="1">
        <f t="shared" si="6"/>
        <v>13675.472886508125</v>
      </c>
    </row>
    <row r="49" spans="5:38" ht="15.75">
      <c r="E49" s="150" t="s">
        <v>268</v>
      </c>
      <c r="F49" s="11" t="s">
        <v>227</v>
      </c>
      <c r="G49" s="11" t="s">
        <v>228</v>
      </c>
      <c r="H49" s="11" t="s">
        <v>220</v>
      </c>
      <c r="I49" s="11"/>
      <c r="J49" s="11"/>
      <c r="K49" s="11"/>
      <c r="L49" s="11"/>
      <c r="M49" s="185" t="s">
        <v>239</v>
      </c>
      <c r="N49" s="186"/>
      <c r="O49" s="186"/>
      <c r="P49" s="186"/>
      <c r="Q49" s="187"/>
      <c r="R49" s="11"/>
      <c r="S49" s="11"/>
      <c r="T49" s="11"/>
      <c r="U49" s="11"/>
      <c r="V49" s="11"/>
      <c r="W49" s="11"/>
      <c r="X49" s="151"/>
      <c r="Y49">
        <v>80</v>
      </c>
      <c r="Z49" s="52">
        <f t="shared" si="1"/>
        <v>24680.209424083772</v>
      </c>
      <c r="AA49" s="52">
        <f t="shared" si="2"/>
        <v>9586.268339790577</v>
      </c>
      <c r="AB49" s="52">
        <f t="shared" si="3"/>
        <v>26541.599999999995</v>
      </c>
      <c r="AC49" s="3">
        <f t="shared" si="4"/>
        <v>0</v>
      </c>
      <c r="AD49" s="5">
        <f t="shared" si="5"/>
        <v>0</v>
      </c>
      <c r="AE49" s="24">
        <f t="shared" si="7"/>
        <v>60808.077763874346</v>
      </c>
      <c r="AF49" s="53">
        <f t="shared" si="8"/>
        <v>0.4058705739707844</v>
      </c>
      <c r="AG49" s="53">
        <f t="shared" si="9"/>
        <v>0.1576479423838277</v>
      </c>
      <c r="AH49" s="53">
        <f t="shared" si="10"/>
        <v>0.43648148364538786</v>
      </c>
      <c r="AI49" s="53">
        <f t="shared" si="11"/>
        <v>0</v>
      </c>
      <c r="AJ49" s="53">
        <f t="shared" si="12"/>
        <v>0</v>
      </c>
      <c r="AK49" s="1" t="e">
        <f>(375*$AA$62*(VLOOKUP($AA$61,#REF!,4,0))*0.83)/Y49</f>
        <v>#REF!</v>
      </c>
      <c r="AL49" s="1">
        <f t="shared" si="6"/>
        <v>15794.305912694634</v>
      </c>
    </row>
    <row r="50" spans="5:38" ht="12.75">
      <c r="E50" s="152" t="s">
        <v>57</v>
      </c>
      <c r="F50" s="138" t="s">
        <v>38</v>
      </c>
      <c r="G50" s="138" t="str">
        <f>F50</f>
        <v>C. Hopper Car</v>
      </c>
      <c r="H50" s="6">
        <v>20</v>
      </c>
      <c r="I50" s="11"/>
      <c r="J50" s="11"/>
      <c r="K50" s="11"/>
      <c r="L50" s="11"/>
      <c r="M50" s="11"/>
      <c r="N50" s="11"/>
      <c r="O50" s="11"/>
      <c r="P50" s="11"/>
      <c r="Q50" s="11"/>
      <c r="R50" s="11"/>
      <c r="S50" s="11"/>
      <c r="T50" s="11"/>
      <c r="U50" s="11"/>
      <c r="V50" s="11"/>
      <c r="W50" s="11"/>
      <c r="X50" s="151"/>
      <c r="Y50">
        <v>85</v>
      </c>
      <c r="Z50" s="52">
        <f t="shared" si="1"/>
        <v>27861.642670157067</v>
      </c>
      <c r="AA50" s="52">
        <f t="shared" si="2"/>
        <v>9586.268339790577</v>
      </c>
      <c r="AB50" s="52">
        <f t="shared" si="3"/>
        <v>28200.449999999997</v>
      </c>
      <c r="AC50" s="3">
        <f t="shared" si="4"/>
        <v>0</v>
      </c>
      <c r="AD50" s="5">
        <f t="shared" si="5"/>
        <v>0</v>
      </c>
      <c r="AE50" s="24">
        <f t="shared" si="7"/>
        <v>65648.36100994764</v>
      </c>
      <c r="AF50" s="53">
        <f t="shared" si="8"/>
        <v>0.4244072851405265</v>
      </c>
      <c r="AG50" s="53">
        <f t="shared" si="9"/>
        <v>0.1460244885373144</v>
      </c>
      <c r="AH50" s="53">
        <f t="shared" si="10"/>
        <v>0.4295682263221592</v>
      </c>
      <c r="AI50" s="53">
        <f t="shared" si="11"/>
        <v>0</v>
      </c>
      <c r="AJ50" s="53">
        <f t="shared" si="12"/>
        <v>0</v>
      </c>
      <c r="AK50" s="1" t="e">
        <f>(375*$AA$62*(VLOOKUP($AA$61,#REF!,4,0))*0.83)/Y50</f>
        <v>#REF!</v>
      </c>
      <c r="AL50" s="1">
        <f t="shared" si="6"/>
        <v>18117.242486511524</v>
      </c>
    </row>
    <row r="51" spans="5:38" ht="51">
      <c r="E51" s="152" t="s">
        <v>215</v>
      </c>
      <c r="F51" s="6">
        <v>110</v>
      </c>
      <c r="G51" s="6">
        <f>F51</f>
        <v>110</v>
      </c>
      <c r="H51" s="153" t="s">
        <v>223</v>
      </c>
      <c r="I51" s="153" t="s">
        <v>224</v>
      </c>
      <c r="J51" s="10" t="s">
        <v>101</v>
      </c>
      <c r="K51" s="154" t="s">
        <v>113</v>
      </c>
      <c r="L51" s="154" t="s">
        <v>112</v>
      </c>
      <c r="M51" s="10" t="s">
        <v>222</v>
      </c>
      <c r="N51" s="153" t="s">
        <v>229</v>
      </c>
      <c r="O51" s="10" t="s">
        <v>103</v>
      </c>
      <c r="P51" s="10" t="s">
        <v>104</v>
      </c>
      <c r="Q51" s="10" t="s">
        <v>106</v>
      </c>
      <c r="R51" s="10" t="s">
        <v>170</v>
      </c>
      <c r="S51" s="153" t="s">
        <v>231</v>
      </c>
      <c r="T51" s="153" t="s">
        <v>232</v>
      </c>
      <c r="U51" s="153" t="s">
        <v>233</v>
      </c>
      <c r="V51" s="153" t="s">
        <v>224</v>
      </c>
      <c r="W51" s="153" t="s">
        <v>251</v>
      </c>
      <c r="X51" s="151"/>
      <c r="Y51">
        <v>90</v>
      </c>
      <c r="Z51" s="52">
        <f t="shared" si="1"/>
        <v>31235.890052356026</v>
      </c>
      <c r="AA51" s="52">
        <f t="shared" si="2"/>
        <v>9586.268339790577</v>
      </c>
      <c r="AB51" s="52">
        <f t="shared" si="3"/>
        <v>29859.3</v>
      </c>
      <c r="AC51" s="3">
        <f t="shared" si="4"/>
        <v>0</v>
      </c>
      <c r="AD51" s="5">
        <f t="shared" si="5"/>
        <v>0</v>
      </c>
      <c r="AE51" s="24">
        <f t="shared" si="7"/>
        <v>70681.4583921466</v>
      </c>
      <c r="AF51" s="53">
        <f t="shared" si="8"/>
        <v>0.4419248097436914</v>
      </c>
      <c r="AG51" s="53">
        <f t="shared" si="9"/>
        <v>0.13562635177397112</v>
      </c>
      <c r="AH51" s="53">
        <f t="shared" si="10"/>
        <v>0.42244883848233755</v>
      </c>
      <c r="AI51" s="53">
        <f t="shared" si="11"/>
        <v>0</v>
      </c>
      <c r="AJ51" s="53">
        <f t="shared" si="12"/>
        <v>0</v>
      </c>
      <c r="AK51" s="1" t="e">
        <f>(375*$AA$62*(VLOOKUP($AA$61,#REF!,4,0))*0.83)/Y51</f>
        <v>#REF!</v>
      </c>
      <c r="AL51" s="1">
        <f t="shared" si="6"/>
        <v>20653.67290679608</v>
      </c>
    </row>
    <row r="52" spans="5:38" ht="12.75">
      <c r="E52" s="152" t="s">
        <v>72</v>
      </c>
      <c r="F52" s="138" t="s">
        <v>42</v>
      </c>
      <c r="G52" s="138" t="s">
        <v>42</v>
      </c>
      <c r="H52" s="22">
        <v>0.02</v>
      </c>
      <c r="I52" s="22">
        <v>0.001</v>
      </c>
      <c r="J52" s="6">
        <v>533</v>
      </c>
      <c r="K52" s="11">
        <v>20</v>
      </c>
      <c r="L52" s="63">
        <f>IF(O52&lt;=P52,O52/N52*308,P52/N52*308)</f>
        <v>20.000000000000004</v>
      </c>
      <c r="M52" s="155">
        <f>J52/L52</f>
        <v>26.649999999999995</v>
      </c>
      <c r="N52" s="102">
        <f>SUM(S52:W52)</f>
        <v>77429.10572632086</v>
      </c>
      <c r="O52" s="102">
        <f>N52*K52/308</f>
        <v>5027.864008202654</v>
      </c>
      <c r="P52" s="102">
        <f>$F$53*(VLOOKUP($F$52,$Y$20:$AG$28,4,0))+IF(I52&gt;1.8%,$F$55*(VLOOKUP($F$54,$Y$20:$AG$28,4,0)),0)</f>
        <v>6000</v>
      </c>
      <c r="Q52" s="156">
        <f>$F$12*J52/K52*VLOOKUP($F$11,$Y$20:$AB$28,2,0)*O52/P52+$F$14*J52/K52*VLOOKUP($F$13,$Y$20:$AB$28,2,0)*O52/P52</f>
        <v>18725.46247064945</v>
      </c>
      <c r="R52" s="157">
        <f>Q52*$F$7</f>
        <v>24343.101211844285</v>
      </c>
      <c r="S52" s="102">
        <f>$F$12*((VLOOKUP($F$11,$Y$20:$AG$28,7,0)*VLOOKUP($F$11,$Y$20:$AG$28,5,0)*K52*K52)/(VLOOKUP($F$11,$Y$20:$AG$28,9,0)/VLOOKUP($F$11,$Y$20:$AG$28,8,0))/VLOOKUP($F$11,$Y$20:$AG$28,8,0))+((VLOOKUP($F$9,$Y$11:$AF$17,4,0)*VLOOKUP($F$9,$Y$11:$AF$17,5,0)*K52*K52)/(((VLOOKUP($F$9,$Y$11:$AF$17,7,0)/2000))/((VLOOKUP($F$9,$Y$11:$AF$17,8,0))))/VLOOKUP($F$9,$Y$11:$AF$17,8,0))*$F$17</f>
        <v>1741.437055559897</v>
      </c>
      <c r="T52" s="102">
        <f>$F$53*(1.3+0.29/((VLOOKUP($F$52,$Y$20:$AG$28,9,0))/VLOOKUP($F$52,$Y$20:$AG$28,8,0)))+(1.3+0.29/((VLOOKUP($F$50,$Y$11:$AF$17,7,0))/VLOOKUP($F$50,$Y$11:$AF$17,8,0)))*$F$58</f>
        <v>20157.88532676096</v>
      </c>
      <c r="U52" s="102">
        <f>$F$53*(VLOOKUP($F$52,$Y$20:$AG$28,6,0)*K52)+(VLOOKUP($F$50,$Y$11:$AF$17,3,0)*K52)*$F$58</f>
        <v>13954.8</v>
      </c>
      <c r="V52" s="102">
        <f>$F$53*(20*I52*(VLOOKUP($F$52,$Y$20:$AG$28,9,0)))+(20*I52*(VLOOKUP($F$50,$Y$10:$AF$17,7,0)/2000))*$F$58</f>
        <v>41558.36</v>
      </c>
      <c r="W52" s="102">
        <f>$F$53*(0.8*H52*(VLOOKUP($F$52,$Y$20:$AG$28,9,0))/2000)+(0.8*H52*((VLOOKUP($F$50,$Y$11:$AF$17,7,0))/2000/2000))*$F$58</f>
        <v>16.623344000000003</v>
      </c>
      <c r="X52" s="151"/>
      <c r="Y52">
        <v>95</v>
      </c>
      <c r="Z52" s="52">
        <f t="shared" si="1"/>
        <v>34802.95157068063</v>
      </c>
      <c r="AA52" s="52">
        <f t="shared" si="2"/>
        <v>9586.268339790577</v>
      </c>
      <c r="AB52" s="52">
        <f t="shared" si="3"/>
        <v>31518.149999999998</v>
      </c>
      <c r="AC52" s="3">
        <f t="shared" si="4"/>
        <v>0</v>
      </c>
      <c r="AD52" s="5">
        <f t="shared" si="5"/>
        <v>0</v>
      </c>
      <c r="AE52" s="24">
        <f t="shared" si="7"/>
        <v>75907.3699104712</v>
      </c>
      <c r="AF52" s="53">
        <f t="shared" si="8"/>
        <v>0.4584923916047796</v>
      </c>
      <c r="AG52" s="53">
        <f t="shared" si="9"/>
        <v>0.12628903295025348</v>
      </c>
      <c r="AH52" s="53">
        <f t="shared" si="10"/>
        <v>0.41521857544496693</v>
      </c>
      <c r="AI52" s="53">
        <f t="shared" si="11"/>
        <v>0</v>
      </c>
      <c r="AJ52" s="53">
        <f t="shared" si="12"/>
        <v>0</v>
      </c>
      <c r="AK52" s="1" t="e">
        <f>(375*$AA$62*(VLOOKUP($AA$61,#REF!,4,0))*0.83)/Y52</f>
        <v>#REF!</v>
      </c>
      <c r="AL52" s="1">
        <f t="shared" si="6"/>
        <v>23412.987472385597</v>
      </c>
    </row>
    <row r="53" spans="5:38" ht="12.75">
      <c r="E53" s="152" t="s">
        <v>74</v>
      </c>
      <c r="F53" s="6">
        <v>2</v>
      </c>
      <c r="G53" s="6">
        <f>F53</f>
        <v>2</v>
      </c>
      <c r="H53" s="22">
        <v>0</v>
      </c>
      <c r="I53" s="22">
        <v>0</v>
      </c>
      <c r="J53" s="6">
        <v>0</v>
      </c>
      <c r="K53" s="11">
        <v>20</v>
      </c>
      <c r="L53" s="64">
        <f>IF(O53&lt;=P53,O53/N53*308,P53/N53*308)</f>
        <v>20.000000000000004</v>
      </c>
      <c r="M53" s="155">
        <f>J53/L53</f>
        <v>0</v>
      </c>
      <c r="N53" s="102">
        <f>SUM(S53:W53)</f>
        <v>35854.12238232086</v>
      </c>
      <c r="O53" s="102">
        <f>N53*K53/308</f>
        <v>2328.18976508577</v>
      </c>
      <c r="P53" s="102">
        <f>$F$53*(VLOOKUP($F$52,$Y$20:$AG$28,4,0))+IF(I53&gt;1.8%,$F$55*(VLOOKUP($F$54,$Y$20:$AG$28,4,0)),0)</f>
        <v>6000</v>
      </c>
      <c r="Q53" s="156">
        <f>$F$12*J53/K53*VLOOKUP($F$11,$Y$20:$AB$28,2,0)*O53/P53+$F$14*J53/K53*VLOOKUP($F$13,$Y$20:$AB$28,2,0)*O53/P53</f>
        <v>0</v>
      </c>
      <c r="R53" s="157">
        <f>Q53*$F$7</f>
        <v>0</v>
      </c>
      <c r="S53" s="102">
        <f>$F$12*((VLOOKUP($F$11,$Y$20:$AG$28,7,0)*VLOOKUP($F$11,$Y$20:$AG$28,5,0)*K53*K53)/(VLOOKUP($F$11,$Y$20:$AG$28,9,0)/VLOOKUP($F$11,$Y$20:$AG$28,8,0))/VLOOKUP($F$11,$Y$20:$AG$28,8,0))+((VLOOKUP($F$9,$Y$11:$AF$17,4,0)*VLOOKUP($F$9,$Y$11:$AF$17,5,0)*K53*K53)/(((VLOOKUP($F$9,$Y$11:$AF$17,7,0)/2000))/((VLOOKUP($F$9,$Y$11:$AF$17,8,0))))/VLOOKUP($F$9,$Y$11:$AF$17,8,0))*$F$17</f>
        <v>1741.437055559897</v>
      </c>
      <c r="T53" s="102">
        <f>$F$53*(1.3+0.29/((VLOOKUP($F$52,$Y$20:$AG$28,9,0))/VLOOKUP($F$52,$Y$20:$AG$28,8,0)))+(1.3+0.29/((VLOOKUP($F$50,$Y$11:$AF$17,7,0))/VLOOKUP($F$50,$Y$11:$AF$17,8,0)))*$F$58</f>
        <v>20157.88532676096</v>
      </c>
      <c r="U53" s="102">
        <f>$F$53*(VLOOKUP($F$52,$Y$20:$AG$28,6,0)*K53)+(VLOOKUP($F$50,$Y$11:$AF$17,3,0)*K53)*$F$58</f>
        <v>13954.8</v>
      </c>
      <c r="V53" s="102">
        <f>$F$53*(20*I53*(VLOOKUP($F$52,$Y$20:$AG$28,9,0)))+(20*I53*(VLOOKUP($F$50,$Y$10:$AF$17,7,0)/2000))*$F$58</f>
        <v>0</v>
      </c>
      <c r="W53" s="102">
        <f>$F$53*(0.8*H53*(VLOOKUP($F$52,$Y$20:$AG$28,9,0))/2000)+(0.8*H53*((VLOOKUP($F$50,$Y$11:$AF$17,7,0))/2000/2000))*$F$58</f>
        <v>0</v>
      </c>
      <c r="X53" s="151"/>
      <c r="Y53">
        <v>100</v>
      </c>
      <c r="Z53" s="52">
        <f t="shared" si="1"/>
        <v>38562.82722513089</v>
      </c>
      <c r="AA53" s="52">
        <f t="shared" si="2"/>
        <v>9586.268339790577</v>
      </c>
      <c r="AB53" s="52">
        <f t="shared" si="3"/>
        <v>33177</v>
      </c>
      <c r="AC53" s="3">
        <f t="shared" si="4"/>
        <v>0</v>
      </c>
      <c r="AD53" s="5">
        <f t="shared" si="5"/>
        <v>0</v>
      </c>
      <c r="AE53" s="24">
        <f t="shared" si="7"/>
        <v>81326.09556492147</v>
      </c>
      <c r="AF53" s="53">
        <f t="shared" si="8"/>
        <v>0.47417531798691515</v>
      </c>
      <c r="AG53" s="53">
        <f t="shared" si="9"/>
        <v>0.11787444452116841</v>
      </c>
      <c r="AH53" s="53">
        <f t="shared" si="10"/>
        <v>0.40795023749191633</v>
      </c>
      <c r="AI53" s="53">
        <f t="shared" si="11"/>
        <v>0</v>
      </c>
      <c r="AJ53" s="53">
        <f t="shared" si="12"/>
        <v>0</v>
      </c>
      <c r="AK53" s="1" t="e">
        <f>(375*$AA$62*(VLOOKUP($AA$61,#REF!,4,0))*0.83)/Y53</f>
        <v>#REF!</v>
      </c>
      <c r="AL53" s="1">
        <f t="shared" si="6"/>
        <v>26404.57648211736</v>
      </c>
    </row>
    <row r="54" spans="5:39" ht="12.75">
      <c r="E54" s="152" t="s">
        <v>216</v>
      </c>
      <c r="F54" s="138" t="s">
        <v>42</v>
      </c>
      <c r="G54" s="138" t="s">
        <v>42</v>
      </c>
      <c r="H54" s="22">
        <v>0</v>
      </c>
      <c r="I54" s="22">
        <v>0</v>
      </c>
      <c r="J54" s="6">
        <v>0</v>
      </c>
      <c r="K54" s="11">
        <v>20</v>
      </c>
      <c r="L54" s="64">
        <f>IF(O54&lt;=P54,O54/N54*308,P54/N54*308)</f>
        <v>20.000000000000004</v>
      </c>
      <c r="M54" s="155">
        <f>J54/L54</f>
        <v>0</v>
      </c>
      <c r="N54" s="102">
        <f>SUM(S54:W54)</f>
        <v>35854.12238232086</v>
      </c>
      <c r="O54" s="102">
        <f>N54*K54/308</f>
        <v>2328.18976508577</v>
      </c>
      <c r="P54" s="102">
        <f>$F$53*(VLOOKUP($F$52,$Y$20:$AG$28,4,0))+IF(I54&gt;1.8%,$F$55*(VLOOKUP($F$54,$Y$20:$AG$28,4,0)),0)</f>
        <v>6000</v>
      </c>
      <c r="Q54" s="156">
        <f>$F$12*J54/K54*VLOOKUP($F$11,$Y$20:$AB$28,2,0)*O54/P54+$F$14*J54/K54*VLOOKUP($F$13,$Y$20:$AB$28,2,0)*O54/P54</f>
        <v>0</v>
      </c>
      <c r="R54" s="157">
        <f>Q54*$F$7</f>
        <v>0</v>
      </c>
      <c r="S54" s="102">
        <f>$F$12*((VLOOKUP($F$11,$Y$20:$AG$28,7,0)*VLOOKUP($F$11,$Y$20:$AG$28,5,0)*K54*K54)/(VLOOKUP($F$11,$Y$20:$AG$28,9,0)/VLOOKUP($F$11,$Y$20:$AG$28,8,0))/VLOOKUP($F$11,$Y$20:$AG$28,8,0))+((VLOOKUP($F$9,$Y$11:$AF$17,4,0)*VLOOKUP($F$9,$Y$11:$AF$17,5,0)*K54*K54)/(((VLOOKUP($F$9,$Y$11:$AF$17,7,0)/2000))/((VLOOKUP($F$9,$Y$11:$AF$17,8,0))))/VLOOKUP($F$9,$Y$11:$AF$17,8,0))*$F$17</f>
        <v>1741.437055559897</v>
      </c>
      <c r="T54" s="102">
        <f>$F$53*(1.3+0.29/((VLOOKUP($F$52,$Y$20:$AG$28,9,0))/VLOOKUP($F$52,$Y$20:$AG$28,8,0)))+(1.3+0.29/((VLOOKUP($F$50,$Y$11:$AF$17,7,0))/VLOOKUP($F$50,$Y$11:$AF$17,8,0)))*$F$58</f>
        <v>20157.88532676096</v>
      </c>
      <c r="U54" s="102">
        <f>$F$53*(VLOOKUP($F$52,$Y$20:$AG$28,6,0)*K54)+(VLOOKUP($F$50,$Y$11:$AF$17,3,0)*K54)*$F$58</f>
        <v>13954.8</v>
      </c>
      <c r="V54" s="102">
        <f>$F$53*(20*I54*(VLOOKUP($F$52,$Y$20:$AG$28,9,0)))+(20*I54*(VLOOKUP($F$50,$Y$10:$AF$17,7,0)/2000))*$F$58</f>
        <v>0</v>
      </c>
      <c r="W54" s="102">
        <f>$F$53*(0.8*H54*(VLOOKUP($F$52,$Y$20:$AG$28,9,0))/2000)+(0.8*H54*((VLOOKUP($F$50,$Y$11:$AF$17,7,0))/2000/2000))*$F$58</f>
        <v>0</v>
      </c>
      <c r="X54" s="151"/>
      <c r="Z54">
        <v>130</v>
      </c>
      <c r="AA54" s="52">
        <f>$AA$62*((VLOOKUP($AA$61,$Y$20:$AG$28,7,0)*VLOOKUP($AA$61,$Y$20:$AG$28,5,0)*Z54*Z54)/(VLOOKUP($AA$61,$Y$20:$AG$28,9,0)/VLOOKUP($AA$61,$Y$20:$AG$28,8,0))/VLOOKUP($AA$61,$Y$20:$AG$28,8,0))+((VLOOKUP($AA$63,$Y$11:$AF$17,4,0)*VLOOKUP($AA$63,$Y$11:$AF$17,5,0)*Z54*Z54)/(((VLOOKUP($AA$63,$Y$11:$AF$17,7,0)/2000))/((VLOOKUP($AA$63,$Y$11:$AF$17,8,0))))/VLOOKUP($AA$63,$Y$11:$AF$17,8,0))*$AD$58</f>
        <v>65171.178010471216</v>
      </c>
      <c r="AB54" s="52">
        <f>$AA$62*(1.3+0.29/((VLOOKUP($AA$61,$Y$20:$AG$28,9,0))/VLOOKUP($AA$61,$Y$20:$AG$28,8,0)))+(1.3+0.29/((VLOOKUP($AA$63,$Y$11:$AF$17,7,0))/VLOOKUP($AA$63,$Y$11:$AF$17,8,0)))*$AD$58</f>
        <v>9586.268339790577</v>
      </c>
      <c r="AC54" s="52">
        <f>$AA$62*(VLOOKUP($AA$61,$Y$20:$AG$28,6,0)*Z54)+(VLOOKUP($AA$63,$Y$11:$AF$17,3,0)*Z54)*$AD$58</f>
        <v>43130.1</v>
      </c>
      <c r="AD54" s="3">
        <f>$AA$62*(20*$AA$58*(VLOOKUP($AA$61,$Y$20:$AG$28,9,0)))+(20*$AA$58*(VLOOKUP($AA$63,$Y$10:$AF$17,7,0)/2000))*$AD$58</f>
        <v>0</v>
      </c>
      <c r="AE54" s="5">
        <f>$AA$62*(0.8*$AB$57*(VLOOKUP($AA$61,$Y$20:$AG$28,9,0))/2000)+(0.8*$AB$57*((VLOOKUP($AA$63,$Y$11:$AF$17,7,0))/2000/2000))*$AD$58</f>
        <v>0</v>
      </c>
      <c r="AF54" s="24">
        <f t="shared" si="7"/>
        <v>117887.54635026178</v>
      </c>
      <c r="AG54" s="53">
        <f t="shared" si="8"/>
        <v>0.5528249592780374</v>
      </c>
      <c r="AH54" s="53">
        <f t="shared" si="9"/>
        <v>0.08131705711567123</v>
      </c>
      <c r="AI54" s="53">
        <f t="shared" si="10"/>
        <v>0.36585798360629146</v>
      </c>
      <c r="AJ54" s="53">
        <f t="shared" si="11"/>
        <v>0</v>
      </c>
      <c r="AK54" s="53">
        <f t="shared" si="12"/>
        <v>0</v>
      </c>
      <c r="AL54" s="1" t="e">
        <f>(375*$AA$62*(VLOOKUP($AA$61,#REF!,4,0))*0.83)/Z54</f>
        <v>#REF!</v>
      </c>
      <c r="AM54" s="1">
        <f t="shared" si="6"/>
        <v>49757.73060238322</v>
      </c>
    </row>
    <row r="55" spans="5:24" ht="12.75">
      <c r="E55" s="152" t="s">
        <v>214</v>
      </c>
      <c r="F55" s="6">
        <v>2</v>
      </c>
      <c r="G55" s="6">
        <v>0</v>
      </c>
      <c r="H55" s="22">
        <v>0</v>
      </c>
      <c r="I55" s="22">
        <v>0</v>
      </c>
      <c r="J55" s="6">
        <v>0</v>
      </c>
      <c r="K55" s="11">
        <f>$H$9</f>
        <v>20</v>
      </c>
      <c r="L55" s="64">
        <f>IF(O55&lt;=P55,O55/N55*308,P55/N55*308)</f>
        <v>20.000000000000004</v>
      </c>
      <c r="M55" s="155">
        <f>J55/L55</f>
        <v>0</v>
      </c>
      <c r="N55" s="102">
        <f>SUM(S55:W55)</f>
        <v>35854.12238232086</v>
      </c>
      <c r="O55" s="102">
        <f>N55*K55/308</f>
        <v>2328.18976508577</v>
      </c>
      <c r="P55" s="102">
        <f>$F$53*(VLOOKUP($F$52,$Y$20:$AG$28,4,0))+IF(I55&gt;1.8%,$F$55*(VLOOKUP($F$54,$Y$20:$AG$28,4,0)),0)</f>
        <v>6000</v>
      </c>
      <c r="Q55" s="156">
        <f>$F$12*J55/K55*VLOOKUP($F$11,$Y$20:$AB$28,2,0)*O55/P55+$F$14*J55/K55*VLOOKUP($F$13,$Y$20:$AB$28,2,0)*O55/P55</f>
        <v>0</v>
      </c>
      <c r="R55" s="157">
        <f>Q55*$F$7</f>
        <v>0</v>
      </c>
      <c r="S55" s="102">
        <f>$F$12*((VLOOKUP($F$11,$Y$20:$AG$28,7,0)*VLOOKUP($F$11,$Y$20:$AG$28,5,0)*K55*K55)/(VLOOKUP($F$11,$Y$20:$AG$28,9,0)/VLOOKUP($F$11,$Y$20:$AG$28,8,0))/VLOOKUP($F$11,$Y$20:$AG$28,8,0))+((VLOOKUP($F$9,$Y$11:$AF$17,4,0)*VLOOKUP($F$9,$Y$11:$AF$17,5,0)*K55*K55)/(((VLOOKUP($F$9,$Y$11:$AF$17,7,0)/2000))/((VLOOKUP($F$9,$Y$11:$AF$17,8,0))))/VLOOKUP($F$9,$Y$11:$AF$17,8,0))*$F$17</f>
        <v>1741.437055559897</v>
      </c>
      <c r="T55" s="102">
        <f>$F$53*(1.3+0.29/((VLOOKUP($F$52,$Y$20:$AG$28,9,0))/VLOOKUP($F$52,$Y$20:$AG$28,8,0)))+(1.3+0.29/((VLOOKUP($F$50,$Y$11:$AF$17,7,0))/VLOOKUP($F$50,$Y$11:$AF$17,8,0)))*$F$58</f>
        <v>20157.88532676096</v>
      </c>
      <c r="U55" s="102">
        <f>$F$53*(VLOOKUP($F$52,$Y$20:$AG$28,6,0)*K55)+(VLOOKUP($F$50,$Y$11:$AF$17,3,0)*K55)*$F$58</f>
        <v>13954.8</v>
      </c>
      <c r="V55" s="102">
        <f>$F$53*(20*I55*(VLOOKUP($F$52,$Y$20:$AG$28,9,0)))+(20*I55*(VLOOKUP($F$50,$Y$10:$AF$17,7,0)/2000))*$F$58</f>
        <v>0</v>
      </c>
      <c r="W55" s="102">
        <f>$F$53*(0.8*H55*(VLOOKUP($F$52,$Y$20:$AG$28,9,0))/2000)+(0.8*H55*((VLOOKUP($F$50,$Y$11:$AF$17,7,0))/2000/2000))*$F$58</f>
        <v>0</v>
      </c>
      <c r="X55" s="151"/>
    </row>
    <row r="56" spans="5:24" ht="12.75">
      <c r="E56" s="152" t="s">
        <v>218</v>
      </c>
      <c r="F56" s="5">
        <f>VLOOKUP(F50,$Y$11:$AF$17,7,0)</f>
        <v>268000</v>
      </c>
      <c r="G56" s="5">
        <f>VLOOKUP(F50,$Y$11:$AF$17,6,0)</f>
        <v>67000</v>
      </c>
      <c r="H56" s="22">
        <v>0</v>
      </c>
      <c r="I56" s="22">
        <v>0</v>
      </c>
      <c r="J56" s="6">
        <v>0</v>
      </c>
      <c r="K56" s="11">
        <f>$H$9</f>
        <v>20</v>
      </c>
      <c r="L56" s="139">
        <f>IF(O56&lt;=P56,O56/N56*308,P56/N56*308)</f>
        <v>20.000000000000004</v>
      </c>
      <c r="M56" s="155">
        <f>J56/L56</f>
        <v>0</v>
      </c>
      <c r="N56" s="102">
        <f>SUM(S56:W56)</f>
        <v>35854.12238232086</v>
      </c>
      <c r="O56" s="102">
        <f>N56*K56/308</f>
        <v>2328.18976508577</v>
      </c>
      <c r="P56" s="102">
        <f>$F$53*(VLOOKUP($F$52,$Y$20:$AG$28,4,0))+IF(I56&gt;1.8%,$F$55*(VLOOKUP($F$54,$Y$20:$AG$28,4,0)),0)</f>
        <v>6000</v>
      </c>
      <c r="Q56" s="156">
        <f>$F$12*J56/K56*VLOOKUP($F$11,$Y$20:$AB$28,2,0)*O56/P56+$F$14*J56/K56*VLOOKUP($F$13,$Y$20:$AB$28,2,0)*O56/P56</f>
        <v>0</v>
      </c>
      <c r="R56" s="157">
        <f>Q56*$F$7</f>
        <v>0</v>
      </c>
      <c r="S56" s="102">
        <f>$F$12*((VLOOKUP($F$11,$Y$20:$AG$28,7,0)*VLOOKUP($F$11,$Y$20:$AG$28,5,0)*K56*K56)/(VLOOKUP($F$11,$Y$20:$AG$28,9,0)/VLOOKUP($F$11,$Y$20:$AG$28,8,0))/VLOOKUP($F$11,$Y$20:$AG$28,8,0))+((VLOOKUP($F$9,$Y$11:$AF$17,4,0)*VLOOKUP($F$9,$Y$11:$AF$17,5,0)*K56*K56)/(((VLOOKUP($F$9,$Y$11:$AF$17,7,0)/2000))/((VLOOKUP($F$9,$Y$11:$AF$17,8,0))))/VLOOKUP($F$9,$Y$11:$AF$17,8,0))*$F$17</f>
        <v>1741.437055559897</v>
      </c>
      <c r="T56" s="102">
        <f>$F$53*(1.3+0.29/((VLOOKUP($F$52,$Y$20:$AG$28,9,0))/VLOOKUP($F$52,$Y$20:$AG$28,8,0)))+(1.3+0.29/((VLOOKUP($F$50,$Y$11:$AF$17,7,0))/VLOOKUP($F$50,$Y$11:$AF$17,8,0)))*$F$58</f>
        <v>20157.88532676096</v>
      </c>
      <c r="U56" s="102">
        <f>$F$53*(VLOOKUP($F$52,$Y$20:$AG$28,6,0)*K56)+(VLOOKUP($F$50,$Y$11:$AF$17,3,0)*K56)*$F$58</f>
        <v>13954.8</v>
      </c>
      <c r="V56" s="102">
        <f>$F$53*(20*I56*(VLOOKUP($F$52,$Y$20:$AG$28,9,0)))+(20*I56*(VLOOKUP($F$50,$Y$10:$AF$17,7,0)/2000))*$F$58</f>
        <v>0</v>
      </c>
      <c r="W56" s="102">
        <f>$F$53*(0.8*H56*(VLOOKUP($F$52,$Y$20:$AG$28,9,0))/2000)+(0.8*H56*((VLOOKUP($F$50,$Y$11:$AF$17,7,0))/2000/2000))*$F$58</f>
        <v>0</v>
      </c>
      <c r="X56" s="151"/>
    </row>
    <row r="57" spans="5:33" ht="38.25">
      <c r="E57" s="152" t="s">
        <v>217</v>
      </c>
      <c r="F57" s="5">
        <f>F51*F56+F53*2000*VLOOKUP(F52,$Y$20:$AG$28,9,0)+F55*2000*VLOOKUP(F54,$Y$20:$AG$28,9,0)</f>
        <v>31008000</v>
      </c>
      <c r="G57" s="5">
        <f>G51*G56+G53*2000*VLOOKUP(G52,$Y$20:$AG$28,9,0)+G55*2000*VLOOKUP(G54,$Y$20:$AG$28,9,0)</f>
        <v>8134000</v>
      </c>
      <c r="H57" s="11"/>
      <c r="I57" s="11"/>
      <c r="J57" s="11"/>
      <c r="K57" s="11"/>
      <c r="L57" s="11"/>
      <c r="M57" s="11"/>
      <c r="N57" s="11"/>
      <c r="O57" s="11"/>
      <c r="P57" s="11"/>
      <c r="Q57" s="11"/>
      <c r="R57" s="11"/>
      <c r="S57" s="11"/>
      <c r="T57" s="11"/>
      <c r="U57" s="11"/>
      <c r="V57" s="11"/>
      <c r="W57" s="11"/>
      <c r="X57" s="151"/>
      <c r="AA57" t="s">
        <v>56</v>
      </c>
      <c r="AB57" s="6">
        <v>0</v>
      </c>
      <c r="AC57" t="s">
        <v>75</v>
      </c>
      <c r="AD57" t="s">
        <v>89</v>
      </c>
      <c r="AF57" s="75" t="s">
        <v>94</v>
      </c>
      <c r="AG57" s="75"/>
    </row>
    <row r="58" spans="5:32" ht="12.75">
      <c r="E58" s="152" t="s">
        <v>219</v>
      </c>
      <c r="F58" s="5">
        <f>F57/2000</f>
        <v>15504</v>
      </c>
      <c r="G58" s="5">
        <f>G57/2000</f>
        <v>4067</v>
      </c>
      <c r="H58" s="11"/>
      <c r="I58" s="158" t="s">
        <v>221</v>
      </c>
      <c r="J58" s="158">
        <f>SUM(J52:J56)</f>
        <v>533</v>
      </c>
      <c r="K58" s="158"/>
      <c r="L58" s="158"/>
      <c r="M58" s="159">
        <f>SUM(M52:M56)</f>
        <v>26.649999999999995</v>
      </c>
      <c r="N58" s="158"/>
      <c r="O58" s="158"/>
      <c r="P58" s="158"/>
      <c r="Q58" s="160">
        <f>SUM(Q52:Q56)</f>
        <v>18725.46247064945</v>
      </c>
      <c r="R58" s="161">
        <f>SUM(R52:R56)</f>
        <v>24343.101211844285</v>
      </c>
      <c r="S58" s="11"/>
      <c r="T58" s="11"/>
      <c r="U58" s="11"/>
      <c r="V58" s="11"/>
      <c r="W58" s="11"/>
      <c r="X58" s="151"/>
      <c r="Z58" s="8" t="s">
        <v>111</v>
      </c>
      <c r="AA58" s="22">
        <v>0</v>
      </c>
      <c r="AB58" t="s">
        <v>76</v>
      </c>
      <c r="AC58" t="s">
        <v>90</v>
      </c>
      <c r="AD58" s="3">
        <f>AA65*VLOOKUP(AA63,Y11:AF17,7,0)/2000</f>
        <v>7370</v>
      </c>
      <c r="AE58" s="75"/>
      <c r="AF58" s="75"/>
    </row>
    <row r="59" spans="5:32" ht="25.5">
      <c r="E59" s="152" t="s">
        <v>236</v>
      </c>
      <c r="F59" s="94">
        <f>G58/F58</f>
        <v>0.26231940144478844</v>
      </c>
      <c r="G59" s="11"/>
      <c r="H59" s="153" t="s">
        <v>225</v>
      </c>
      <c r="I59" s="153" t="s">
        <v>226</v>
      </c>
      <c r="J59" s="10" t="s">
        <v>101</v>
      </c>
      <c r="K59" s="154" t="s">
        <v>113</v>
      </c>
      <c r="L59" s="154" t="s">
        <v>112</v>
      </c>
      <c r="M59" s="10" t="s">
        <v>222</v>
      </c>
      <c r="N59" s="153" t="s">
        <v>230</v>
      </c>
      <c r="O59" s="10" t="s">
        <v>103</v>
      </c>
      <c r="P59" s="10" t="s">
        <v>104</v>
      </c>
      <c r="Q59" s="10" t="s">
        <v>106</v>
      </c>
      <c r="R59" s="10" t="s">
        <v>170</v>
      </c>
      <c r="S59" s="153" t="s">
        <v>240</v>
      </c>
      <c r="T59" s="153" t="s">
        <v>248</v>
      </c>
      <c r="U59" s="153" t="s">
        <v>252</v>
      </c>
      <c r="V59" s="153" t="s">
        <v>226</v>
      </c>
      <c r="W59" s="141" t="s">
        <v>250</v>
      </c>
      <c r="X59" s="151"/>
      <c r="Z59" t="s">
        <v>34</v>
      </c>
      <c r="AA59" s="6">
        <v>24</v>
      </c>
      <c r="AB59" t="s">
        <v>77</v>
      </c>
      <c r="AC59" s="8" t="s">
        <v>19</v>
      </c>
      <c r="AD59" s="5">
        <f>SUM(AD61:AD65)</f>
        <v>20449.431900000003</v>
      </c>
      <c r="AE59" s="5" t="e">
        <f>375*$AA$62*(VLOOKUP($AA$61,#REF!,4,0))*0.83/$AA$59</f>
        <v>#REF!</v>
      </c>
      <c r="AF59" t="e">
        <f>IF(AE59&lt;AD59,"The resistance of the train exceeds the available Tractive Effort. Add more locomotives or reduce speed.",0)</f>
        <v>#REF!</v>
      </c>
    </row>
    <row r="60" spans="5:31" ht="12.75">
      <c r="E60" s="152"/>
      <c r="F60" s="11"/>
      <c r="G60" s="11"/>
      <c r="H60" s="22">
        <v>0.02</v>
      </c>
      <c r="I60" s="22">
        <v>0.002</v>
      </c>
      <c r="J60" s="6">
        <v>533</v>
      </c>
      <c r="K60" s="11">
        <v>20</v>
      </c>
      <c r="L60" s="63">
        <f>IF(O60&lt;=P60,O60/N60*308,P60/N60*308)</f>
        <v>20.000000000000004</v>
      </c>
      <c r="M60" s="155">
        <f>J60/L60</f>
        <v>26.649999999999995</v>
      </c>
      <c r="N60" s="102">
        <f>SUM(S60:W60)</f>
        <v>31621.704415604443</v>
      </c>
      <c r="O60" s="102">
        <f>N60*K60/308</f>
        <v>2053.3574295847043</v>
      </c>
      <c r="P60" s="102">
        <f>$F$53*(VLOOKUP($F$52,$Y$20:$AG$28,4,0))+IF(I60&gt;1.8%,$F$55*(VLOOKUP($F$54,$Y$20:$AG$28,4,0)),0)</f>
        <v>6000</v>
      </c>
      <c r="Q60" s="156">
        <f>$F$12*J60/K60*VLOOKUP($F$11,$Y$20:$AB$28,2,0)*O60/P60+$F$14*J60/K60*VLOOKUP($F$13,$Y$20:$AB$28,2,0)*O60/P60</f>
        <v>7647.396075905923</v>
      </c>
      <c r="R60" s="157">
        <f>Q60*$F$7</f>
        <v>9941.6148986777</v>
      </c>
      <c r="S60" s="102">
        <f>$F$12*((VLOOKUP($F$11,$Y$20:$AG$28,7,0)*VLOOKUP($F$11,$Y$20:$AG$28,5,0)*K60*K60)/(VLOOKUP($F$11,$Y$20:$AG$28,9,0)/VLOOKUP($F$11,$Y$20:$AG$28,8,0))/VLOOKUP($F$11,$Y$20:$AG$28,8,0))+((VLOOKUP($F$9,$Y$11:$AF$17,4,0)*VLOOKUP($F$9,$Y$11:$AF$17,5,0)*K60*K60)/(((VLOOKUP($F$9,$Y$11:$AF$17,7,0)/2000))/((VLOOKUP($F$9,$Y$11:$AF$17,8,0))))/VLOOKUP($F$9,$Y$11:$AF$17,8,0))*$G$58</f>
        <v>851.7057122763148</v>
      </c>
      <c r="T60" s="102">
        <f>$F$53*(1.3+0.29/((VLOOKUP($F$52,$Y$20:$AG$28,9,0))/VLOOKUP($F$52,$Y$20:$AG$28,8,0)))+(1.3+0.29/((VLOOKUP($F$50,$Y$11:$AF$17,7,0))/VLOOKUP($F$50,$Y$11:$AF$17,8,0)))*$G$58</f>
        <v>5289.735823328125</v>
      </c>
      <c r="U60" s="102">
        <f>$F$53*(VLOOKUP($F$52,$Y$20:$AG$28,6,0)*K60)+(VLOOKUP($F$50,$Y$11:$AF$17,3,0)*K60)*$G$58</f>
        <v>3661.4999999999995</v>
      </c>
      <c r="V60" s="102">
        <f>$F$53*(20*I60*(VLOOKUP($F$52,$Y$20:$AG$28,9,0)))+(20*I60*(VLOOKUP($F$50,$Y$10:$AF$17,7,0)/2000))*$G$58</f>
        <v>21814.4</v>
      </c>
      <c r="W60" s="102">
        <f>$F$53*(0.8*H60*(VLOOKUP($F$52,$Y$20:$AG$28,9,0))/2000)+(0.8*H60*((VLOOKUP($F$50,$Y$11:$AF$17,7,0))/2000/2000))*$G$58</f>
        <v>4.3628800000000005</v>
      </c>
      <c r="X60" s="151"/>
      <c r="AA60" s="6"/>
      <c r="AC60" s="8"/>
      <c r="AD60" s="5"/>
      <c r="AE60" s="5"/>
    </row>
    <row r="61" spans="5:33" ht="12.75">
      <c r="E61" s="152"/>
      <c r="F61" s="11"/>
      <c r="G61" s="11"/>
      <c r="H61" s="22"/>
      <c r="I61" s="22"/>
      <c r="J61" s="6">
        <v>0</v>
      </c>
      <c r="K61" s="11">
        <v>20</v>
      </c>
      <c r="L61" s="64">
        <f>IF(O61&lt;=P61,O61/N61*308,P61/N61*308)</f>
        <v>20.000000000000004</v>
      </c>
      <c r="M61" s="155">
        <f>J61/L61</f>
        <v>0</v>
      </c>
      <c r="N61" s="102">
        <f>SUM(S61:W61)</f>
        <v>9802.94153560444</v>
      </c>
      <c r="O61" s="102">
        <f>N61*K61/308</f>
        <v>636.5546451691195</v>
      </c>
      <c r="P61" s="102">
        <f>$F$53*(VLOOKUP($F$52,$Y$20:$AG$28,4,0))+IF(I61&gt;1.8%,$F$55*(VLOOKUP($F$54,$Y$20:$AG$28,4,0)),0)</f>
        <v>6000</v>
      </c>
      <c r="Q61" s="156">
        <f>$F$12*J61/K61*VLOOKUP($F$11,$Y$20:$AB$28,2,0)*O61/P61+$F$14*J61/K61*VLOOKUP($F$13,$Y$20:$AB$28,2,0)*O61/P61</f>
        <v>0</v>
      </c>
      <c r="R61" s="157">
        <f>Q61*$F$7</f>
        <v>0</v>
      </c>
      <c r="S61" s="102">
        <f>$F$12*((VLOOKUP($F$11,$Y$20:$AG$28,7,0)*VLOOKUP($F$11,$Y$20:$AG$28,5,0)*K61*K61)/(VLOOKUP($F$11,$Y$20:$AG$28,9,0)/VLOOKUP($F$11,$Y$20:$AG$28,8,0))/VLOOKUP($F$11,$Y$20:$AG$28,8,0))+((VLOOKUP($F$9,$Y$11:$AF$17,4,0)*VLOOKUP($F$9,$Y$11:$AF$17,5,0)*K61*K61)/(((VLOOKUP($F$9,$Y$11:$AF$17,7,0)/2000))/((VLOOKUP($F$9,$Y$11:$AF$17,8,0))))/VLOOKUP($F$9,$Y$11:$AF$17,8,0))*$G$58</f>
        <v>851.7057122763148</v>
      </c>
      <c r="T61" s="102">
        <f>$F$53*(1.3+0.29/((VLOOKUP($F$52,$Y$20:$AG$28,9,0))/VLOOKUP($F$52,$Y$20:$AG$28,8,0)))+(1.3+0.29/((VLOOKUP($F$50,$Y$11:$AF$17,7,0))/VLOOKUP($F$50,$Y$11:$AF$17,8,0)))*$G$58</f>
        <v>5289.735823328125</v>
      </c>
      <c r="U61" s="102">
        <f>$F$53*(VLOOKUP($F$52,$Y$20:$AG$28,6,0)*K61)+(VLOOKUP($F$50,$Y$11:$AF$17,3,0)*K61)*$G$58</f>
        <v>3661.4999999999995</v>
      </c>
      <c r="V61" s="102">
        <f>$F$53*(20*I61*(VLOOKUP($F$52,$Y$20:$AG$28,9,0)))+(20*I61*(VLOOKUP($F$50,$Y$10:$AF$17,7,0)/2000))*$G$58</f>
        <v>0</v>
      </c>
      <c r="W61" s="102">
        <f>$F$53*(0.8*H61*(VLOOKUP($F$52,$Y$20:$AG$28,9,0))/2000)+(0.8*H61*((VLOOKUP($F$50,$Y$11:$AF$17,7,0))/2000/2000))*$G$58</f>
        <v>0</v>
      </c>
      <c r="X61" s="151"/>
      <c r="Z61" t="s">
        <v>72</v>
      </c>
      <c r="AA61" s="6" t="s">
        <v>42</v>
      </c>
      <c r="AB61" t="s">
        <v>78</v>
      </c>
      <c r="AC61" t="s">
        <v>91</v>
      </c>
      <c r="AD61" s="5">
        <f>AC71*AD58+(VLOOKUP(AA61,Y20:AG28,9,0)*AA62*AA71)</f>
        <v>2908.8</v>
      </c>
      <c r="AE61" s="54">
        <f>AD61/$AD$59</f>
        <v>0.14224356032110602</v>
      </c>
      <c r="AF61" s="5">
        <f>$AD$59*$AA$59/308</f>
        <v>1593.4622259740263</v>
      </c>
      <c r="AG61" t="s">
        <v>96</v>
      </c>
    </row>
    <row r="62" spans="5:33" ht="15.75">
      <c r="E62" s="152"/>
      <c r="F62" s="11"/>
      <c r="G62" s="11"/>
      <c r="H62" s="22"/>
      <c r="I62" s="22"/>
      <c r="J62" s="6">
        <v>0</v>
      </c>
      <c r="K62" s="11">
        <f>$H$9</f>
        <v>20</v>
      </c>
      <c r="L62" s="64">
        <f>IF(O62&lt;=P62,O62/N62*308,P62/N62*308)</f>
        <v>20.000000000000004</v>
      </c>
      <c r="M62" s="155">
        <f>J62/L62</f>
        <v>0</v>
      </c>
      <c r="N62" s="102">
        <f>SUM(S62:W62)</f>
        <v>9802.94153560444</v>
      </c>
      <c r="O62" s="102">
        <f>N62*K62/308</f>
        <v>636.5546451691195</v>
      </c>
      <c r="P62" s="102">
        <f>$F$53*(VLOOKUP($F$52,$Y$20:$AG$28,4,0))+IF(I62&gt;1.8%,$F$55*(VLOOKUP($F$54,$Y$20:$AG$28,4,0)),0)</f>
        <v>6000</v>
      </c>
      <c r="Q62" s="156">
        <f>$F$12*J62/K62*VLOOKUP($F$11,$Y$20:$AB$28,2,0)*O62/P62+$F$14*J62/K62*VLOOKUP($F$13,$Y$20:$AB$28,2,0)*O62/P62</f>
        <v>0</v>
      </c>
      <c r="R62" s="157">
        <f>Q62*$F$7</f>
        <v>0</v>
      </c>
      <c r="S62" s="102">
        <f>$F$12*((VLOOKUP($F$11,$Y$20:$AG$28,7,0)*VLOOKUP($F$11,$Y$20:$AG$28,5,0)*K62*K62)/(VLOOKUP($F$11,$Y$20:$AG$28,9,0)/VLOOKUP($F$11,$Y$20:$AG$28,8,0))/VLOOKUP($F$11,$Y$20:$AG$28,8,0))+((VLOOKUP($F$9,$Y$11:$AF$17,4,0)*VLOOKUP($F$9,$Y$11:$AF$17,5,0)*K62*K62)/(((VLOOKUP($F$9,$Y$11:$AF$17,7,0)/2000))/((VLOOKUP($F$9,$Y$11:$AF$17,8,0))))/VLOOKUP($F$9,$Y$11:$AF$17,8,0))*$G$58</f>
        <v>851.7057122763148</v>
      </c>
      <c r="T62" s="102">
        <f>$F$53*(1.3+0.29/((VLOOKUP($F$52,$Y$20:$AG$28,9,0))/VLOOKUP($F$52,$Y$20:$AG$28,8,0)))+(1.3+0.29/((VLOOKUP($F$50,$Y$11:$AF$17,7,0))/VLOOKUP($F$50,$Y$11:$AF$17,8,0)))*$G$58</f>
        <v>5289.735823328125</v>
      </c>
      <c r="U62" s="102">
        <f>$F$53*(VLOOKUP($F$52,$Y$20:$AG$28,6,0)*K62)+(VLOOKUP($F$50,$Y$11:$AF$17,3,0)*K62)*$G$58</f>
        <v>3661.4999999999995</v>
      </c>
      <c r="V62" s="102">
        <f>$F$53*(20*I62*(VLOOKUP($F$52,$Y$20:$AG$28,9,0)))+(20*I62*(VLOOKUP($F$50,$Y$10:$AF$17,7,0)/2000))*$G$58</f>
        <v>0</v>
      </c>
      <c r="W62" s="102">
        <f>$F$53*(0.8*H62*(VLOOKUP($F$52,$Y$20:$AG$28,9,0))/2000)+(0.8*H62*((VLOOKUP($F$50,$Y$11:$AF$17,7,0))/2000/2000))*$G$58</f>
        <v>0</v>
      </c>
      <c r="X62" s="151"/>
      <c r="Z62" t="s">
        <v>74</v>
      </c>
      <c r="AA62" s="62">
        <v>4</v>
      </c>
      <c r="AC62" t="s">
        <v>92</v>
      </c>
      <c r="AD62" s="5">
        <f>AD58*AC72</f>
        <v>9581.0319</v>
      </c>
      <c r="AE62" s="54">
        <f>AD62/$AD$59</f>
        <v>0.46852313290913467</v>
      </c>
      <c r="AF62" s="59">
        <f>ROUNDUP(AF61/VLOOKUP(AA61,Y20:AG28,4,0),0)</f>
        <v>1</v>
      </c>
      <c r="AG62" t="s">
        <v>97</v>
      </c>
    </row>
    <row r="63" spans="5:31" ht="12.75">
      <c r="E63" s="152"/>
      <c r="F63" s="11"/>
      <c r="G63" s="11"/>
      <c r="H63" s="22"/>
      <c r="I63" s="22"/>
      <c r="J63" s="6">
        <v>0</v>
      </c>
      <c r="K63" s="11">
        <f>$H$9</f>
        <v>20</v>
      </c>
      <c r="L63" s="64">
        <f>IF(O63&lt;=P63,O63/N63*308,P63/N63*308)</f>
        <v>20.000000000000004</v>
      </c>
      <c r="M63" s="155">
        <f>J63/L63</f>
        <v>0</v>
      </c>
      <c r="N63" s="102">
        <f>SUM(S63:W63)</f>
        <v>9802.94153560444</v>
      </c>
      <c r="O63" s="102">
        <f>N63*K63/308</f>
        <v>636.5546451691195</v>
      </c>
      <c r="P63" s="102">
        <f>$F$53*(VLOOKUP($F$52,$Y$20:$AG$28,4,0))+IF(I63&gt;1.8%,$F$55*(VLOOKUP($F$54,$Y$20:$AG$28,4,0)),0)</f>
        <v>6000</v>
      </c>
      <c r="Q63" s="156">
        <f>$F$12*J63/K63*VLOOKUP($F$11,$Y$20:$AB$28,2,0)*O63/P63+$F$14*J63/K63*VLOOKUP($F$13,$Y$20:$AB$28,2,0)*O63/P63</f>
        <v>0</v>
      </c>
      <c r="R63" s="157">
        <f>Q63*$F$7</f>
        <v>0</v>
      </c>
      <c r="S63" s="102">
        <f>$F$12*((VLOOKUP($F$11,$Y$20:$AG$28,7,0)*VLOOKUP($F$11,$Y$20:$AG$28,5,0)*K63*K63)/(VLOOKUP($F$11,$Y$20:$AG$28,9,0)/VLOOKUP($F$11,$Y$20:$AG$28,8,0))/VLOOKUP($F$11,$Y$20:$AG$28,8,0))+((VLOOKUP($F$9,$Y$11:$AF$17,4,0)*VLOOKUP($F$9,$Y$11:$AF$17,5,0)*K63*K63)/(((VLOOKUP($F$9,$Y$11:$AF$17,7,0)/2000))/((VLOOKUP($F$9,$Y$11:$AF$17,8,0))))/VLOOKUP($F$9,$Y$11:$AF$17,8,0))*$G$58</f>
        <v>851.7057122763148</v>
      </c>
      <c r="T63" s="102">
        <f>$F$53*(1.3+0.29/((VLOOKUP($F$52,$Y$20:$AG$28,9,0))/VLOOKUP($F$52,$Y$20:$AG$28,8,0)))+(1.3+0.29/((VLOOKUP($F$50,$Y$11:$AF$17,7,0))/VLOOKUP($F$50,$Y$11:$AF$17,8,0)))*$G$58</f>
        <v>5289.735823328125</v>
      </c>
      <c r="U63" s="102">
        <f>$F$53*(VLOOKUP($F$52,$Y$20:$AG$28,6,0)*K63)+(VLOOKUP($F$50,$Y$11:$AF$17,3,0)*K63)*$G$58</f>
        <v>3661.4999999999995</v>
      </c>
      <c r="V63" s="102">
        <f>$F$53*(20*I63*(VLOOKUP($F$52,$Y$20:$AG$28,9,0)))+(20*I63*(VLOOKUP($F$50,$Y$10:$AF$17,7,0)/2000))*$G$58</f>
        <v>0</v>
      </c>
      <c r="W63" s="102">
        <f>$F$53*(0.8*H63*(VLOOKUP($F$52,$Y$20:$AG$28,9,0))/2000)+(0.8*H63*((VLOOKUP($F$50,$Y$11:$AF$17,7,0))/2000/2000))*$G$58</f>
        <v>0</v>
      </c>
      <c r="X63" s="151"/>
      <c r="Z63" t="s">
        <v>57</v>
      </c>
      <c r="AA63" s="6" t="s">
        <v>38</v>
      </c>
      <c r="AC63" t="s">
        <v>93</v>
      </c>
      <c r="AD63" s="5">
        <f>AD58*AC73</f>
        <v>7959.6</v>
      </c>
      <c r="AE63" s="54">
        <f>AD63/$AD$59</f>
        <v>0.38923330676975915</v>
      </c>
    </row>
    <row r="64" spans="5:31" ht="12.75">
      <c r="E64" s="152"/>
      <c r="F64" s="11"/>
      <c r="G64" s="11"/>
      <c r="H64" s="22"/>
      <c r="I64" s="22"/>
      <c r="J64" s="6">
        <v>0</v>
      </c>
      <c r="K64" s="11">
        <f>$H$9</f>
        <v>20</v>
      </c>
      <c r="L64" s="139">
        <f>IF(O64&lt;=P64,O64/N64*308,P64/N64*308)</f>
        <v>20.000000000000004</v>
      </c>
      <c r="M64" s="155">
        <f>J64/L64</f>
        <v>0</v>
      </c>
      <c r="N64" s="102">
        <f>SUM(S64:W64)</f>
        <v>9802.94153560444</v>
      </c>
      <c r="O64" s="102">
        <f>N64*K64/308</f>
        <v>636.5546451691195</v>
      </c>
      <c r="P64" s="102">
        <f>$F$53*(VLOOKUP($F$52,$Y$20:$AG$28,4,0))+IF(I64&gt;1.8%,$F$55*(VLOOKUP($F$54,$Y$20:$AG$28,4,0)),0)</f>
        <v>6000</v>
      </c>
      <c r="Q64" s="156">
        <f>$F$12*J64/K64*VLOOKUP($F$11,$Y$20:$AB$28,2,0)*O64/P64+$F$14*J64/K64*VLOOKUP($F$13,$Y$20:$AB$28,2,0)*O64/P64</f>
        <v>0</v>
      </c>
      <c r="R64" s="157">
        <f>Q64*$F$7</f>
        <v>0</v>
      </c>
      <c r="S64" s="102">
        <f>$F$12*((VLOOKUP($F$11,$Y$20:$AG$28,7,0)*VLOOKUP($F$11,$Y$20:$AG$28,5,0)*K64*K64)/(VLOOKUP($F$11,$Y$20:$AG$28,9,0)/VLOOKUP($F$11,$Y$20:$AG$28,8,0))/VLOOKUP($F$11,$Y$20:$AG$28,8,0))+((VLOOKUP($F$9,$Y$11:$AF$17,4,0)*VLOOKUP($F$9,$Y$11:$AF$17,5,0)*K64*K64)/(((VLOOKUP($F$9,$Y$11:$AF$17,7,0)/2000))/((VLOOKUP($F$9,$Y$11:$AF$17,8,0))))/VLOOKUP($F$9,$Y$11:$AF$17,8,0))*$G$58</f>
        <v>851.7057122763148</v>
      </c>
      <c r="T64" s="102">
        <f>$F$53*(1.3+0.29/((VLOOKUP($F$52,$Y$20:$AG$28,9,0))/VLOOKUP($F$52,$Y$20:$AG$28,8,0)))+(1.3+0.29/((VLOOKUP($F$50,$Y$11:$AF$17,7,0))/VLOOKUP($F$50,$Y$11:$AF$17,8,0)))*$G$58</f>
        <v>5289.735823328125</v>
      </c>
      <c r="U64" s="102">
        <f>$F$53*(VLOOKUP($F$52,$Y$20:$AG$28,6,0)*K64)+(VLOOKUP($F$50,$Y$11:$AF$17,3,0)*K64)*$G$58</f>
        <v>3661.4999999999995</v>
      </c>
      <c r="V64" s="102">
        <f>$F$53*(20*I64*(VLOOKUP($F$52,$Y$20:$AG$28,9,0)))+(20*I64*(VLOOKUP($F$50,$Y$10:$AF$17,7,0)/2000))*$G$58</f>
        <v>0</v>
      </c>
      <c r="W64" s="102">
        <f>$F$53*(0.8*H64*(VLOOKUP($F$52,$Y$20:$AG$28,9,0))/2000)+(0.8*H64*((VLOOKUP($F$50,$Y$11:$AF$17,7,0))/2000/2000))*$G$58</f>
        <v>0</v>
      </c>
      <c r="X64" s="151"/>
      <c r="AA64" s="6" t="s">
        <v>81</v>
      </c>
      <c r="AC64" t="s">
        <v>29</v>
      </c>
      <c r="AD64" s="5">
        <f>$AD$58*AC74+AA74*AA62</f>
        <v>0</v>
      </c>
      <c r="AE64" s="54">
        <f>AD64/$AD$59</f>
        <v>0</v>
      </c>
    </row>
    <row r="65" spans="5:31" ht="12.75">
      <c r="E65" s="152"/>
      <c r="F65" s="11"/>
      <c r="G65" s="11"/>
      <c r="H65" s="11"/>
      <c r="I65" s="11"/>
      <c r="J65" s="11"/>
      <c r="K65" s="11"/>
      <c r="L65" s="11"/>
      <c r="M65" s="11"/>
      <c r="N65" s="11"/>
      <c r="O65" s="11"/>
      <c r="P65" s="11"/>
      <c r="Q65" s="11"/>
      <c r="R65" s="11"/>
      <c r="S65" s="11"/>
      <c r="T65" s="102"/>
      <c r="U65" s="11"/>
      <c r="V65" s="11"/>
      <c r="W65" s="11"/>
      <c r="X65" s="151"/>
      <c r="Z65" t="s">
        <v>73</v>
      </c>
      <c r="AA65" s="6">
        <v>55</v>
      </c>
      <c r="AC65" t="s">
        <v>56</v>
      </c>
      <c r="AD65" s="5">
        <f>$AD$58*AC75</f>
        <v>0</v>
      </c>
      <c r="AE65" s="54">
        <f>AD65/$AD$59</f>
        <v>0</v>
      </c>
    </row>
    <row r="66" spans="5:31" ht="13.5" thickBot="1">
      <c r="E66" s="152"/>
      <c r="F66" s="11"/>
      <c r="G66" s="11"/>
      <c r="H66" s="11"/>
      <c r="I66" s="11"/>
      <c r="J66" s="158">
        <f>SUM(J60:J64)</f>
        <v>533</v>
      </c>
      <c r="K66" s="158"/>
      <c r="L66" s="158"/>
      <c r="M66" s="159">
        <f>SUM(M60:M64)</f>
        <v>26.649999999999995</v>
      </c>
      <c r="N66" s="158"/>
      <c r="O66" s="158"/>
      <c r="P66" s="158"/>
      <c r="Q66" s="160">
        <f>SUM(Q60:Q64)</f>
        <v>7647.396075905923</v>
      </c>
      <c r="R66" s="161">
        <f>SUM(R60:R64)</f>
        <v>9941.6148986777</v>
      </c>
      <c r="S66" s="11"/>
      <c r="T66" s="11"/>
      <c r="U66" s="11"/>
      <c r="V66" s="11"/>
      <c r="W66" s="11"/>
      <c r="X66" s="151"/>
      <c r="Z66" s="8" t="s">
        <v>107</v>
      </c>
      <c r="AA66" s="61">
        <v>1.3</v>
      </c>
      <c r="AB66" t="s">
        <v>109</v>
      </c>
      <c r="AE66" s="53"/>
    </row>
    <row r="67" spans="5:24" ht="14.25" thickBot="1" thickTop="1">
      <c r="E67" s="164"/>
      <c r="F67" s="140"/>
      <c r="G67" s="140"/>
      <c r="H67" s="140"/>
      <c r="I67" s="165" t="s">
        <v>237</v>
      </c>
      <c r="J67" s="165"/>
      <c r="K67" s="140"/>
      <c r="L67" s="140"/>
      <c r="M67" s="168">
        <f>M58+M66</f>
        <v>53.29999999999999</v>
      </c>
      <c r="N67" s="166"/>
      <c r="O67" s="166"/>
      <c r="P67" s="166"/>
      <c r="Q67" s="105">
        <f>Q58+Q66</f>
        <v>26372.858546555373</v>
      </c>
      <c r="R67" s="177">
        <f>R58+R66</f>
        <v>34284.716110521986</v>
      </c>
      <c r="S67" s="140"/>
      <c r="T67" s="140"/>
      <c r="U67" s="140"/>
      <c r="V67" s="140"/>
      <c r="W67" s="140"/>
      <c r="X67" s="167"/>
    </row>
    <row r="68" ht="13.5" thickTop="1">
      <c r="AA68" s="58"/>
    </row>
    <row r="69" spans="12:29" ht="12.75">
      <c r="L69" t="s">
        <v>258</v>
      </c>
      <c r="AA69" s="56" t="s">
        <v>72</v>
      </c>
      <c r="AC69" t="s">
        <v>88</v>
      </c>
    </row>
    <row r="70" spans="5:29" ht="15.75">
      <c r="E70" s="143" t="s">
        <v>256</v>
      </c>
      <c r="F70" t="s">
        <v>235</v>
      </c>
      <c r="G70" s="127">
        <v>12000000</v>
      </c>
      <c r="H70" t="s">
        <v>166</v>
      </c>
      <c r="I70" t="s">
        <v>167</v>
      </c>
      <c r="J70" s="5">
        <f>G70/(IF(F9="C. Hopper Car",L70,#REF!))</f>
        <v>3500</v>
      </c>
      <c r="L70" s="5">
        <f>G70/3500</f>
        <v>3428.5714285714284</v>
      </c>
      <c r="Z70" t="s">
        <v>19</v>
      </c>
      <c r="AA70" s="52">
        <f>SUM(AA71:AA75)</f>
        <v>2.933821989528796</v>
      </c>
      <c r="AB70" t="s">
        <v>79</v>
      </c>
      <c r="AC70" s="52">
        <f>SUM(AC71:AC75)</f>
        <v>2.680899850746269</v>
      </c>
    </row>
    <row r="71" spans="6:29" ht="12.75">
      <c r="F71" t="s">
        <v>241</v>
      </c>
      <c r="G71" s="6">
        <v>60</v>
      </c>
      <c r="H71" t="s">
        <v>165</v>
      </c>
      <c r="N71" s="24"/>
      <c r="Z71" t="s">
        <v>68</v>
      </c>
      <c r="AA71" s="52">
        <f>(VLOOKUP($AA$61,$Y$20:$AG$28,7,0)*VLOOKUP($AA$61,$Y$20:$AG$28,5,0)*$AA$59*$AA$59)/(VLOOKUP($AA$61,$Y$20:$AG$28,9,0)/VLOOKUP($AA$61,$Y$20:$AG$28,8,0))/VLOOKUP($AA$61,$Y$20:$AG$28,8,0)</f>
        <v>0.9047120418848168</v>
      </c>
      <c r="AB71" t="s">
        <v>79</v>
      </c>
      <c r="AC71" s="52">
        <f>(VLOOKUP($AA$63,$Y$11:$AF$17,4,0)*VLOOKUP($AA$63,$Y$11:$AF$17,5,0)*$AA$59*$AA$59)/(((VLOOKUP($AA$63,$Y$11:$AF$17,7,0)/2000))/((VLOOKUP($AA$63,$Y$11:$AF$17,8,0))))/VLOOKUP($AA$63,$Y$11:$AF$17,8,0)</f>
        <v>0.3008955223880598</v>
      </c>
    </row>
    <row r="72" spans="7:29" ht="12.75">
      <c r="G72" s="8" t="s">
        <v>243</v>
      </c>
      <c r="H72" s="5">
        <f>365*5/7</f>
        <v>260.7142857142857</v>
      </c>
      <c r="I72" t="s">
        <v>165</v>
      </c>
      <c r="L72" t="s">
        <v>260</v>
      </c>
      <c r="N72" t="s">
        <v>261</v>
      </c>
      <c r="Z72" t="s">
        <v>66</v>
      </c>
      <c r="AA72" s="52">
        <f>1.3+0.29/((VLOOKUP($AA$61,$Y$20:$AG$28,9,0))/VLOOKUP($AA$61,$Y$20:$AG$28,8,0))</f>
        <v>1.3091099476439791</v>
      </c>
      <c r="AB72" t="s">
        <v>79</v>
      </c>
      <c r="AC72" s="52">
        <f>1.3+0.29/((VLOOKUP($AA$63,$Y$11:$AF$17,7,0))/VLOOKUP($AA$63,$Y$11:$AF$17,8,0))</f>
        <v>1.300004328358209</v>
      </c>
    </row>
    <row r="73" spans="3:29" ht="14.25" customHeight="1">
      <c r="C73" t="s">
        <v>269</v>
      </c>
      <c r="E73" s="181"/>
      <c r="G73" t="s">
        <v>244</v>
      </c>
      <c r="H73" t="s">
        <v>259</v>
      </c>
      <c r="I73" t="s">
        <v>151</v>
      </c>
      <c r="L73" s="6">
        <v>110</v>
      </c>
      <c r="N73" s="6">
        <v>55</v>
      </c>
      <c r="Z73" t="s">
        <v>67</v>
      </c>
      <c r="AA73" s="52">
        <f>(VLOOKUP($AA$61,$Y$20:$AG$28,6,0)*AA59)</f>
        <v>0.72</v>
      </c>
      <c r="AB73" t="s">
        <v>79</v>
      </c>
      <c r="AC73" s="52">
        <f>(VLOOKUP($AA$63,$Y$11:$AF$17,3,0)*$AA$59)</f>
        <v>1.08</v>
      </c>
    </row>
    <row r="74" spans="7:29" ht="12.75">
      <c r="G74" s="128">
        <v>94000</v>
      </c>
      <c r="H74" s="131">
        <f>G74/H72</f>
        <v>360.54794520547944</v>
      </c>
      <c r="I74" s="131">
        <f>H74</f>
        <v>360.54794520547944</v>
      </c>
      <c r="Z74" t="s">
        <v>29</v>
      </c>
      <c r="AA74" s="3">
        <f>20*$AA$58*(VLOOKUP($AA$61,$Y$20:$AG$28,9,0))</f>
        <v>0</v>
      </c>
      <c r="AC74" s="3">
        <f>20*$AA$58*(VLOOKUP($AA$63,$Y$10:$AF$17,7,0)/2000)</f>
        <v>0</v>
      </c>
    </row>
    <row r="75" spans="7:29" ht="12.75">
      <c r="G75" t="s">
        <v>245</v>
      </c>
      <c r="H75" t="s">
        <v>153</v>
      </c>
      <c r="I75" t="s">
        <v>154</v>
      </c>
      <c r="J75" t="s">
        <v>155</v>
      </c>
      <c r="Z75" t="s">
        <v>56</v>
      </c>
      <c r="AA75" s="26">
        <f>0.8*$AB$57*(VLOOKUP($AA$61,$Y$20:$AG$28,9,0))/2000</f>
        <v>0</v>
      </c>
      <c r="AC75" s="26">
        <f>0.8*$AB$57*((VLOOKUP($AA$63,$Y$11:$AF$17,7,0))/2000/2000)</f>
        <v>0</v>
      </c>
    </row>
    <row r="76" spans="5:12" ht="12.75">
      <c r="E76" t="s">
        <v>152</v>
      </c>
      <c r="G76" s="128">
        <v>80000</v>
      </c>
      <c r="H76" s="130">
        <v>0.08</v>
      </c>
      <c r="I76" s="132">
        <f>PMT(H76,8,G76,0,1)</f>
        <v>-12889.982266060902</v>
      </c>
      <c r="J76" s="132">
        <f>I76/360</f>
        <v>-35.805506294613615</v>
      </c>
      <c r="L76" s="133"/>
    </row>
    <row r="77" ht="12.75">
      <c r="G77" t="s">
        <v>246</v>
      </c>
    </row>
    <row r="78" spans="5:26" ht="12.75">
      <c r="E78" t="s">
        <v>18</v>
      </c>
      <c r="G78" s="129">
        <f>VLOOKUP(AA61,Y20:AH28,10,0)</f>
        <v>900000</v>
      </c>
      <c r="H78" s="130">
        <v>0.08</v>
      </c>
      <c r="I78" s="132">
        <f>PMT(H78,8,G78,(G78*0.1),1)</f>
        <v>-152846.86387583698</v>
      </c>
      <c r="J78" s="132">
        <f>I78/365</f>
        <v>-418.7585311666767</v>
      </c>
      <c r="K78" t="s">
        <v>163</v>
      </c>
      <c r="Z78" t="s">
        <v>264</v>
      </c>
    </row>
    <row r="79" spans="5:27" ht="12.75">
      <c r="E79" t="s">
        <v>162</v>
      </c>
      <c r="G79" s="129">
        <f>G78</f>
        <v>900000</v>
      </c>
      <c r="H79" s="130">
        <v>0.08</v>
      </c>
      <c r="I79" s="132">
        <f>PMT(H79,8,G79,(G79*0.1),1)</f>
        <v>-152846.86387583698</v>
      </c>
      <c r="J79" s="132">
        <f>I79/365</f>
        <v>-418.7585311666767</v>
      </c>
      <c r="K79" s="132">
        <f>J79/3</f>
        <v>-139.5861770555589</v>
      </c>
      <c r="Z79" t="s">
        <v>265</v>
      </c>
      <c r="AA79" t="s">
        <v>266</v>
      </c>
    </row>
    <row r="80" spans="5:27" ht="51">
      <c r="E80" t="s">
        <v>156</v>
      </c>
      <c r="G80" t="s">
        <v>159</v>
      </c>
      <c r="H80" t="s">
        <v>160</v>
      </c>
      <c r="I80" t="s">
        <v>105</v>
      </c>
      <c r="J80" t="s">
        <v>161</v>
      </c>
      <c r="K80" s="21" t="s">
        <v>253</v>
      </c>
      <c r="L80" s="21" t="s">
        <v>254</v>
      </c>
      <c r="Z80">
        <v>1</v>
      </c>
      <c r="AA80">
        <v>1</v>
      </c>
    </row>
    <row r="81" spans="5:27" ht="12.75">
      <c r="E81" t="s">
        <v>157</v>
      </c>
      <c r="G81" s="6">
        <v>2</v>
      </c>
      <c r="H81" s="3">
        <f>G81*2</f>
        <v>4</v>
      </c>
      <c r="I81" s="60">
        <f>H81*$I$74*2</f>
        <v>2884.3835616438355</v>
      </c>
      <c r="J81">
        <v>2</v>
      </c>
      <c r="K81">
        <v>4</v>
      </c>
      <c r="L81" s="60">
        <f>$I$74/K81*2</f>
        <v>180.27397260273972</v>
      </c>
      <c r="Z81">
        <v>2</v>
      </c>
      <c r="AA81">
        <v>1</v>
      </c>
    </row>
    <row r="82" spans="5:27" ht="12.75">
      <c r="E82" t="s">
        <v>158</v>
      </c>
      <c r="G82" s="6">
        <v>2</v>
      </c>
      <c r="H82" s="3">
        <f>G82*2</f>
        <v>4</v>
      </c>
      <c r="I82" s="60">
        <f>H82*$I$74*2</f>
        <v>2884.3835616438355</v>
      </c>
      <c r="J82">
        <v>2</v>
      </c>
      <c r="K82">
        <v>2</v>
      </c>
      <c r="L82" s="60">
        <f>$I$74/K82*2</f>
        <v>360.54794520547944</v>
      </c>
      <c r="Z82">
        <v>3</v>
      </c>
      <c r="AA82">
        <v>1</v>
      </c>
    </row>
    <row r="83" spans="5:27" ht="12.75">
      <c r="E83" t="s">
        <v>164</v>
      </c>
      <c r="G83" s="179">
        <v>3</v>
      </c>
      <c r="H83" s="180">
        <f>G83*2</f>
        <v>6</v>
      </c>
      <c r="I83" s="60">
        <f>H83*$I$74*2</f>
        <v>4326.575342465753</v>
      </c>
      <c r="J83">
        <v>0</v>
      </c>
      <c r="K83">
        <v>15</v>
      </c>
      <c r="L83" s="60">
        <v>0</v>
      </c>
      <c r="Z83">
        <v>4</v>
      </c>
      <c r="AA83">
        <v>1</v>
      </c>
    </row>
    <row r="84" spans="7:27" ht="12.75">
      <c r="G84" s="58"/>
      <c r="H84" s="58"/>
      <c r="I84" s="60"/>
      <c r="L84" s="60"/>
      <c r="Z84">
        <v>5</v>
      </c>
      <c r="AA84">
        <v>1</v>
      </c>
    </row>
    <row r="85" spans="5:27" ht="12.75">
      <c r="E85" s="181" t="s">
        <v>270</v>
      </c>
      <c r="G85" s="58"/>
      <c r="H85" s="58"/>
      <c r="I85" s="60"/>
      <c r="L85" s="60"/>
      <c r="Z85">
        <v>6</v>
      </c>
      <c r="AA85">
        <v>1</v>
      </c>
    </row>
    <row r="86" spans="5:27" ht="38.25">
      <c r="E86" t="s">
        <v>212</v>
      </c>
      <c r="F86" s="21" t="s">
        <v>263</v>
      </c>
      <c r="G86" t="s">
        <v>101</v>
      </c>
      <c r="H86" s="21" t="s">
        <v>192</v>
      </c>
      <c r="I86" s="21" t="s">
        <v>193</v>
      </c>
      <c r="J86" s="21" t="s">
        <v>281</v>
      </c>
      <c r="K86" s="21" t="s">
        <v>242</v>
      </c>
      <c r="L86" s="21" t="s">
        <v>168</v>
      </c>
      <c r="M86" s="21" t="s">
        <v>169</v>
      </c>
      <c r="Z86">
        <v>7</v>
      </c>
      <c r="AA86" s="44">
        <v>1.024390243902439</v>
      </c>
    </row>
    <row r="87" spans="5:27" ht="12.75">
      <c r="E87" t="s">
        <v>157</v>
      </c>
      <c r="F87" s="4">
        <v>14</v>
      </c>
      <c r="G87" s="6">
        <v>329</v>
      </c>
      <c r="H87" s="142">
        <f>(M26+48+48)/24*VLOOKUP(F87,Z80:AA110,2,0)</f>
        <v>6.479675411583299</v>
      </c>
      <c r="I87" s="5">
        <f>$J$70/$G$71</f>
        <v>58.333333333333336</v>
      </c>
      <c r="J87" s="9">
        <f>I87*H87</f>
        <v>377.9810656756925</v>
      </c>
      <c r="K87" s="5">
        <f>J87/$N$73</f>
        <v>6.872383012285318</v>
      </c>
      <c r="L87" s="5">
        <f>K87*F12</f>
        <v>20.617149036855952</v>
      </c>
      <c r="M87" s="3">
        <f>F14</f>
        <v>2</v>
      </c>
      <c r="Z87">
        <v>8</v>
      </c>
      <c r="AA87" s="44">
        <v>1.048780487804878</v>
      </c>
    </row>
    <row r="88" spans="5:27" ht="12.75">
      <c r="E88" t="s">
        <v>158</v>
      </c>
      <c r="F88" s="4">
        <v>8</v>
      </c>
      <c r="G88" s="6">
        <v>210</v>
      </c>
      <c r="H88" s="142">
        <f>(M47+48+48)/24*VLOOKUP(F88,Z80:AA110,2,0)</f>
        <v>5.157855572461821</v>
      </c>
      <c r="I88" s="5">
        <f>$J$70/$G$71</f>
        <v>58.333333333333336</v>
      </c>
      <c r="J88" s="9">
        <f>I88*H88</f>
        <v>300.87490839360623</v>
      </c>
      <c r="K88" s="5">
        <f>J88/$N$73</f>
        <v>5.47045287988375</v>
      </c>
      <c r="L88" s="5">
        <f>K88*F53</f>
        <v>10.9409057597675</v>
      </c>
      <c r="M88" s="3">
        <f>F35</f>
        <v>2</v>
      </c>
      <c r="Z88">
        <v>9</v>
      </c>
      <c r="AA88" s="44">
        <v>1.073170731707317</v>
      </c>
    </row>
    <row r="89" spans="5:27" ht="12.75">
      <c r="E89" t="s">
        <v>164</v>
      </c>
      <c r="F89" s="4">
        <v>25</v>
      </c>
      <c r="G89" s="6">
        <v>533</v>
      </c>
      <c r="H89" s="142">
        <f>(M67+48+48)/24*VLOOKUP(F89,Z80:AA110,2,0)</f>
        <v>9.103658536585364</v>
      </c>
      <c r="I89" s="5">
        <f>$J$70/$G$71</f>
        <v>58.333333333333336</v>
      </c>
      <c r="J89" s="9">
        <f>I89*H89</f>
        <v>531.0467479674796</v>
      </c>
      <c r="K89" s="5">
        <f>J89/L73</f>
        <v>4.827697708795269</v>
      </c>
      <c r="L89" s="5">
        <f>K89*F53</f>
        <v>9.655395417590539</v>
      </c>
      <c r="M89" s="3">
        <v>0</v>
      </c>
      <c r="Z89">
        <v>10</v>
      </c>
      <c r="AA89" s="44">
        <v>1.097560975609756</v>
      </c>
    </row>
    <row r="90" spans="26:27" ht="12.75">
      <c r="Z90">
        <v>11</v>
      </c>
      <c r="AA90" s="44">
        <v>1.121951219512195</v>
      </c>
    </row>
    <row r="91" spans="26:27" ht="12.75">
      <c r="Z91">
        <v>12</v>
      </c>
      <c r="AA91" s="44">
        <v>1.146341463414634</v>
      </c>
    </row>
    <row r="92" spans="6:27" ht="12.75">
      <c r="F92" t="s">
        <v>282</v>
      </c>
      <c r="G92" t="s">
        <v>200</v>
      </c>
      <c r="H92" t="s">
        <v>201</v>
      </c>
      <c r="J92" t="s">
        <v>202</v>
      </c>
      <c r="Z92">
        <v>13</v>
      </c>
      <c r="AA92" s="44">
        <v>1.170731707317073</v>
      </c>
    </row>
    <row r="93" spans="6:27" ht="12.75">
      <c r="F93" t="s">
        <v>157</v>
      </c>
      <c r="G93" s="129">
        <f>$G$76*J87</f>
        <v>30238485.2540554</v>
      </c>
      <c r="H93" s="129">
        <f>$G$78*L87</f>
        <v>18555434.13317036</v>
      </c>
      <c r="J93" s="134">
        <f>G93+H93</f>
        <v>48793919.38722576</v>
      </c>
      <c r="Z93">
        <v>14</v>
      </c>
      <c r="AA93" s="44">
        <v>1.1951219512195121</v>
      </c>
    </row>
    <row r="94" spans="6:27" ht="12.75">
      <c r="F94" t="s">
        <v>158</v>
      </c>
      <c r="G94" s="129">
        <f>$G$76*J88</f>
        <v>24069992.671488497</v>
      </c>
      <c r="H94" s="129">
        <f>$G$78*L88</f>
        <v>9846815.183790749</v>
      </c>
      <c r="J94" s="134">
        <f>G94+H94</f>
        <v>33916807.855279244</v>
      </c>
      <c r="Z94">
        <v>15</v>
      </c>
      <c r="AA94" s="44">
        <v>1.2195121951219512</v>
      </c>
    </row>
    <row r="95" spans="6:27" ht="12.75">
      <c r="F95" t="s">
        <v>164</v>
      </c>
      <c r="G95" s="129">
        <f>$G$76*J89</f>
        <v>42483739.83739837</v>
      </c>
      <c r="H95" s="129">
        <f>$G$78*L89</f>
        <v>8689855.875831485</v>
      </c>
      <c r="J95" s="134">
        <f>G95+H95</f>
        <v>51173595.71322986</v>
      </c>
      <c r="Z95">
        <v>16</v>
      </c>
      <c r="AA95" s="44">
        <v>1.2439024390243902</v>
      </c>
    </row>
    <row r="96" spans="10:27" ht="12.75">
      <c r="J96" s="182"/>
      <c r="K96" s="182"/>
      <c r="L96" s="58"/>
      <c r="M96" s="183"/>
      <c r="AA96" s="44"/>
    </row>
    <row r="97" spans="5:27" ht="12.75">
      <c r="E97" s="181" t="s">
        <v>271</v>
      </c>
      <c r="Z97">
        <v>17</v>
      </c>
      <c r="AA97" s="44">
        <v>1.268292682926829</v>
      </c>
    </row>
    <row r="98" spans="5:27" ht="38.25">
      <c r="E98" s="21"/>
      <c r="F98" s="21" t="s">
        <v>203</v>
      </c>
      <c r="G98" s="21" t="s">
        <v>171</v>
      </c>
      <c r="H98" s="21" t="s">
        <v>181</v>
      </c>
      <c r="I98" s="21" t="s">
        <v>198</v>
      </c>
      <c r="J98" s="21" t="s">
        <v>211</v>
      </c>
      <c r="K98" s="21" t="s">
        <v>204</v>
      </c>
      <c r="L98" s="21" t="s">
        <v>199</v>
      </c>
      <c r="M98" s="21" t="s">
        <v>186</v>
      </c>
      <c r="N98" s="21" t="s">
        <v>187</v>
      </c>
      <c r="Z98">
        <v>18</v>
      </c>
      <c r="AA98" s="44">
        <v>1.2926829268292683</v>
      </c>
    </row>
    <row r="99" spans="5:27" ht="12.75">
      <c r="E99" t="s">
        <v>157</v>
      </c>
      <c r="F99" s="3">
        <f>G87</f>
        <v>329</v>
      </c>
      <c r="G99" s="3">
        <v>20</v>
      </c>
      <c r="H99" s="3">
        <f>F99-G99</f>
        <v>309</v>
      </c>
      <c r="I99" s="135">
        <f>R26</f>
        <v>13324.27105055303</v>
      </c>
      <c r="J99" s="132">
        <f>R11+R19</f>
        <v>3123.354265896294</v>
      </c>
      <c r="K99" s="129">
        <f>I99</f>
        <v>13324.27105055303</v>
      </c>
      <c r="L99" s="129">
        <f>K99*K87</f>
        <v>91569.4940189057</v>
      </c>
      <c r="M99" s="54">
        <f>L99/F114</f>
        <v>0.7582203116050312</v>
      </c>
      <c r="N99" s="54">
        <f>L99*60/$I$120</f>
        <v>1.0361470327457503</v>
      </c>
      <c r="Z99">
        <v>19</v>
      </c>
      <c r="AA99" s="44">
        <v>1.3170731707317072</v>
      </c>
    </row>
    <row r="100" spans="5:27" ht="12.75">
      <c r="E100" t="s">
        <v>158</v>
      </c>
      <c r="F100" s="3">
        <f>G88</f>
        <v>210</v>
      </c>
      <c r="G100" s="3">
        <v>20</v>
      </c>
      <c r="H100" s="3">
        <f>F100-G100</f>
        <v>190</v>
      </c>
      <c r="I100" s="135">
        <f>R47</f>
        <v>8156.458637366424</v>
      </c>
      <c r="J100" s="132">
        <f>R32+R40</f>
        <v>2844.160746721946</v>
      </c>
      <c r="K100" s="129">
        <f>I100</f>
        <v>8156.458637366424</v>
      </c>
      <c r="L100" s="129">
        <f>K100*K88</f>
        <v>44619.52264243384</v>
      </c>
      <c r="M100" s="54">
        <f>L100/F115</f>
        <v>0.6686706677356125</v>
      </c>
      <c r="N100" s="54">
        <f>L100*60/$I$120</f>
        <v>0.5048885164631834</v>
      </c>
      <c r="Z100">
        <v>20</v>
      </c>
      <c r="AA100" s="44">
        <v>1.3414634146341462</v>
      </c>
    </row>
    <row r="101" spans="5:27" ht="12.75">
      <c r="E101" t="s">
        <v>164</v>
      </c>
      <c r="F101" s="3">
        <f>G89</f>
        <v>533</v>
      </c>
      <c r="G101" s="3">
        <v>0</v>
      </c>
      <c r="H101" s="3">
        <f>F101-G101</f>
        <v>533</v>
      </c>
      <c r="I101" s="135">
        <f>R67</f>
        <v>34284.716110521986</v>
      </c>
      <c r="J101" s="3">
        <f>0</f>
        <v>0</v>
      </c>
      <c r="K101" s="129">
        <f>I101</f>
        <v>34284.716110521986</v>
      </c>
      <c r="L101" s="129">
        <f>K101*K89</f>
        <v>165516.24541346324</v>
      </c>
      <c r="M101" s="54">
        <f>L101/F116</f>
        <v>0.8618162068055832</v>
      </c>
      <c r="N101" s="54">
        <f>L101*60/$I$119</f>
        <v>1.8728853795017057</v>
      </c>
      <c r="Z101">
        <v>21</v>
      </c>
      <c r="AA101" s="44">
        <v>1.3658536585365852</v>
      </c>
    </row>
    <row r="102" spans="17:27" ht="12.75">
      <c r="Q102" s="53"/>
      <c r="Z102">
        <v>22</v>
      </c>
      <c r="AA102" s="44">
        <v>1.3902439024390245</v>
      </c>
    </row>
    <row r="103" spans="5:27" ht="25.5">
      <c r="E103" t="s">
        <v>172</v>
      </c>
      <c r="F103" t="s">
        <v>173</v>
      </c>
      <c r="G103" t="s">
        <v>161</v>
      </c>
      <c r="H103" s="21" t="s">
        <v>174</v>
      </c>
      <c r="I103" t="s">
        <v>194</v>
      </c>
      <c r="J103" t="s">
        <v>191</v>
      </c>
      <c r="K103" t="s">
        <v>195</v>
      </c>
      <c r="L103" t="s">
        <v>175</v>
      </c>
      <c r="N103" s="53"/>
      <c r="Z103">
        <v>23</v>
      </c>
      <c r="AA103" s="44">
        <v>1.4146341463414631</v>
      </c>
    </row>
    <row r="104" spans="5:27" ht="12.75">
      <c r="E104" t="s">
        <v>157</v>
      </c>
      <c r="F104" s="132">
        <f>L87*J78</f>
        <v>-8633.60704751826</v>
      </c>
      <c r="G104" s="132">
        <f>M87*J78</f>
        <v>-837.5170623333534</v>
      </c>
      <c r="H104" s="132">
        <f>F104+G104</f>
        <v>-9471.124109851615</v>
      </c>
      <c r="I104" s="54">
        <f>F104/F105</f>
        <v>1.884409708807699</v>
      </c>
      <c r="J104" s="132">
        <f>J87*$J$76</f>
        <v>-13533.80342629577</v>
      </c>
      <c r="K104" s="54">
        <f>J104/J105</f>
        <v>1.256273139205133</v>
      </c>
      <c r="L104" s="132">
        <f>H104+J104</f>
        <v>-23004.927536147385</v>
      </c>
      <c r="M104" s="53">
        <f>ABS(L104/F114)</f>
        <v>0.19048705588902287</v>
      </c>
      <c r="N104" s="53">
        <f>ABS(L104*60/$I$120)</f>
        <v>0.260310354015812</v>
      </c>
      <c r="Z104">
        <v>24</v>
      </c>
      <c r="AA104" s="44">
        <v>1.4390243902439024</v>
      </c>
    </row>
    <row r="105" spans="5:27" ht="12.75">
      <c r="E105" t="s">
        <v>158</v>
      </c>
      <c r="F105" s="132">
        <f>L88*J78</f>
        <v>-4581.597625593271</v>
      </c>
      <c r="G105" s="132">
        <f>M88*J78</f>
        <v>-837.5170623333534</v>
      </c>
      <c r="H105" s="132">
        <f>F105+G105</f>
        <v>-5419.114687926624</v>
      </c>
      <c r="I105" s="54">
        <v>1</v>
      </c>
      <c r="J105" s="132">
        <f>J88*$J$76</f>
        <v>-10772.978426378562</v>
      </c>
      <c r="K105" s="54">
        <v>1</v>
      </c>
      <c r="L105" s="132">
        <f>H105+J105</f>
        <v>-16192.093114305186</v>
      </c>
      <c r="M105" s="53">
        <f>ABS(L105/F115)</f>
        <v>0.24265561515628703</v>
      </c>
      <c r="N105" s="53">
        <f>ABS(L105*60/$I$120)</f>
        <v>0.18322028983655092</v>
      </c>
      <c r="Z105">
        <v>25</v>
      </c>
      <c r="AA105" s="44">
        <v>1.4634146341463414</v>
      </c>
    </row>
    <row r="106" spans="5:27" ht="12.75">
      <c r="E106" t="s">
        <v>164</v>
      </c>
      <c r="F106" s="132">
        <f>L89*J78</f>
        <v>-4043.2792029036746</v>
      </c>
      <c r="G106" s="3">
        <v>0</v>
      </c>
      <c r="H106" s="132">
        <f>F106+G106</f>
        <v>-4043.2792029036746</v>
      </c>
      <c r="I106" s="54">
        <f>F106/F105</f>
        <v>0.8825042121371605</v>
      </c>
      <c r="J106" s="132">
        <f>J89*$J$76</f>
        <v>-19014.39767708368</v>
      </c>
      <c r="K106" s="54">
        <f>J106/J105</f>
        <v>1.7650084242743211</v>
      </c>
      <c r="L106" s="132">
        <f>H106+J106</f>
        <v>-23057.676879987357</v>
      </c>
      <c r="M106" s="53">
        <f>ABS(L106/F116)</f>
        <v>0.12005757849823202</v>
      </c>
      <c r="N106" s="53">
        <f>ABS(L106*60/$I$119)</f>
        <v>0.2609072348513421</v>
      </c>
      <c r="Z106">
        <v>26</v>
      </c>
      <c r="AA106" s="44">
        <v>1.4878048780487805</v>
      </c>
    </row>
    <row r="107" spans="18:27" ht="12.75">
      <c r="R107" s="53"/>
      <c r="Z107">
        <v>27</v>
      </c>
      <c r="AA107" s="44">
        <v>1.5121951219512195</v>
      </c>
    </row>
    <row r="108" spans="5:27" ht="12.75">
      <c r="E108" t="s">
        <v>176</v>
      </c>
      <c r="F108" t="s">
        <v>177</v>
      </c>
      <c r="G108" t="s">
        <v>178</v>
      </c>
      <c r="H108" t="s">
        <v>180</v>
      </c>
      <c r="I108" t="s">
        <v>179</v>
      </c>
      <c r="J108" t="s">
        <v>175</v>
      </c>
      <c r="L108" s="53"/>
      <c r="Z108">
        <v>28</v>
      </c>
      <c r="AA108" s="44">
        <v>1.5365853658536583</v>
      </c>
    </row>
    <row r="109" spans="5:27" ht="12.75">
      <c r="E109" t="s">
        <v>157</v>
      </c>
      <c r="F109" s="131">
        <f>$H$74*2</f>
        <v>721.0958904109589</v>
      </c>
      <c r="G109" s="129">
        <f>F109*K87</f>
        <v>4955.647147489029</v>
      </c>
      <c r="H109" s="131">
        <f>L81</f>
        <v>180.27397260273972</v>
      </c>
      <c r="I109" s="129">
        <f>H109*K87</f>
        <v>1238.9117868722572</v>
      </c>
      <c r="J109" s="129">
        <f>G109+I109</f>
        <v>6194.5589343612855</v>
      </c>
      <c r="K109" s="53">
        <f>J109/F114</f>
        <v>0.051292632505945936</v>
      </c>
      <c r="L109" s="53">
        <f>J109*60/$I$120</f>
        <v>0.07009401905925076</v>
      </c>
      <c r="Z109">
        <v>29</v>
      </c>
      <c r="AA109" s="44">
        <v>1.5609756097560974</v>
      </c>
    </row>
    <row r="110" spans="5:27" ht="12.75">
      <c r="E110" t="s">
        <v>158</v>
      </c>
      <c r="F110" s="131">
        <f>$H$74*2</f>
        <v>721.0958904109589</v>
      </c>
      <c r="G110" s="129">
        <f>F110*K88</f>
        <v>3944.721090370967</v>
      </c>
      <c r="H110" s="131">
        <f>L82</f>
        <v>360.54794520547944</v>
      </c>
      <c r="I110" s="129">
        <f>H110*K88</f>
        <v>1972.3605451854835</v>
      </c>
      <c r="J110" s="129">
        <f>G110+I110</f>
        <v>5917.08163555645</v>
      </c>
      <c r="K110" s="53">
        <f>J110/F115</f>
        <v>0.08867371710810046</v>
      </c>
      <c r="L110" s="53">
        <f>J110*60/$I$120</f>
        <v>0.06695424764420312</v>
      </c>
      <c r="Z110">
        <v>30</v>
      </c>
      <c r="AA110" s="44">
        <v>1.5853658536585364</v>
      </c>
    </row>
    <row r="111" spans="5:12" ht="12.75">
      <c r="E111" t="s">
        <v>164</v>
      </c>
      <c r="F111" s="131">
        <f>$H$74*2</f>
        <v>721.0958904109589</v>
      </c>
      <c r="G111" s="129">
        <f>F111*K89</f>
        <v>3481.2329779586707</v>
      </c>
      <c r="H111" s="3">
        <v>0</v>
      </c>
      <c r="I111" s="3">
        <v>0</v>
      </c>
      <c r="J111" s="129">
        <f>G111+I111</f>
        <v>3481.2329779586707</v>
      </c>
      <c r="K111" s="53">
        <f>J111/F116</f>
        <v>0.018126214696184792</v>
      </c>
      <c r="L111" s="53">
        <f>J111*60/$I$119</f>
        <v>0.0393916037109892</v>
      </c>
    </row>
    <row r="113" spans="5:9" ht="12.75">
      <c r="E113" s="181" t="s">
        <v>272</v>
      </c>
      <c r="F113" t="s">
        <v>155</v>
      </c>
      <c r="G113" s="197" t="s">
        <v>255</v>
      </c>
      <c r="H113" s="198"/>
      <c r="I113" s="171" t="s">
        <v>267</v>
      </c>
    </row>
    <row r="114" spans="5:9" ht="12.75">
      <c r="E114" t="s">
        <v>157</v>
      </c>
      <c r="F114" s="170">
        <f>L99-L104+J109</f>
        <v>120768.98048941436</v>
      </c>
      <c r="G114" s="172" t="s">
        <v>157</v>
      </c>
      <c r="H114" s="176">
        <f>F114*60</f>
        <v>7246138.829364861</v>
      </c>
      <c r="I114" s="173">
        <f>H114/$H$114</f>
        <v>1</v>
      </c>
    </row>
    <row r="115" spans="5:9" ht="12.75">
      <c r="E115" t="s">
        <v>158</v>
      </c>
      <c r="F115" s="170">
        <f>L100-L105+J110</f>
        <v>66728.69739229548</v>
      </c>
      <c r="G115" s="172" t="s">
        <v>158</v>
      </c>
      <c r="H115" s="129">
        <f>F115*60</f>
        <v>4003721.843537729</v>
      </c>
      <c r="I115" s="173">
        <f>H115/$H$114</f>
        <v>0.5525317604063437</v>
      </c>
    </row>
    <row r="116" spans="5:9" ht="12.75">
      <c r="E116" t="s">
        <v>164</v>
      </c>
      <c r="F116" s="170">
        <f>L101-L106+J111</f>
        <v>192055.15527140925</v>
      </c>
      <c r="G116" s="174" t="s">
        <v>164</v>
      </c>
      <c r="H116" s="129">
        <f>F116*60</f>
        <v>11523309.316284556</v>
      </c>
      <c r="I116" s="175">
        <f>H116/$H$114</f>
        <v>1.5902689125395348</v>
      </c>
    </row>
    <row r="117" spans="5:13" ht="51" customHeight="1">
      <c r="E117" t="s">
        <v>182</v>
      </c>
      <c r="J117" s="201" t="s">
        <v>184</v>
      </c>
      <c r="L117" s="21" t="s">
        <v>206</v>
      </c>
      <c r="M117" s="201" t="s">
        <v>205</v>
      </c>
    </row>
    <row r="118" spans="5:14" ht="12.75">
      <c r="E118" s="5">
        <f>J70</f>
        <v>3500</v>
      </c>
      <c r="F118" t="s">
        <v>183</v>
      </c>
      <c r="I118" t="s">
        <v>182</v>
      </c>
      <c r="J118" s="202"/>
      <c r="K118" t="s">
        <v>185</v>
      </c>
      <c r="L118" s="130">
        <v>0.1</v>
      </c>
      <c r="M118" s="202"/>
      <c r="N118" t="s">
        <v>247</v>
      </c>
    </row>
    <row r="119" spans="5:14" ht="12.75">
      <c r="E119" s="128">
        <v>1515</v>
      </c>
      <c r="F119" t="s">
        <v>196</v>
      </c>
      <c r="H119" t="s">
        <v>157</v>
      </c>
      <c r="I119" s="129">
        <f>E119*$E$118</f>
        <v>5302500</v>
      </c>
      <c r="J119" s="129">
        <f>H114</f>
        <v>7246138.829364861</v>
      </c>
      <c r="K119" s="134">
        <f>I119-J119</f>
        <v>-1943638.8293648614</v>
      </c>
      <c r="L119" s="129">
        <f>J119*$L$118</f>
        <v>724613.8829364862</v>
      </c>
      <c r="M119" s="134">
        <f>K119-L119</f>
        <v>-2668252.7123013474</v>
      </c>
      <c r="N119" s="53">
        <f>I119/J119</f>
        <v>0.7317690324275467</v>
      </c>
    </row>
    <row r="120" spans="5:14" ht="12.75">
      <c r="E120" s="128">
        <v>1515</v>
      </c>
      <c r="F120" t="s">
        <v>196</v>
      </c>
      <c r="H120" t="s">
        <v>158</v>
      </c>
      <c r="I120" s="129">
        <f>E120*$E$118</f>
        <v>5302500</v>
      </c>
      <c r="J120" s="129">
        <f>H115</f>
        <v>4003721.843537729</v>
      </c>
      <c r="K120" s="134">
        <f>I120-J120</f>
        <v>1298778.1564622712</v>
      </c>
      <c r="L120" s="129">
        <f>J120*$L$118</f>
        <v>400372.1843537729</v>
      </c>
      <c r="M120" s="134">
        <f>K120-L120</f>
        <v>898405.9721084983</v>
      </c>
      <c r="N120" s="53">
        <f>I120/J120</f>
        <v>1.324392704392935</v>
      </c>
    </row>
    <row r="121" spans="5:14" ht="12.75">
      <c r="E121" s="128">
        <v>1474</v>
      </c>
      <c r="F121" t="s">
        <v>197</v>
      </c>
      <c r="H121" t="s">
        <v>164</v>
      </c>
      <c r="I121" s="129">
        <f>E121*$E$118</f>
        <v>5159000</v>
      </c>
      <c r="J121" s="129">
        <f>H116</f>
        <v>11523309.316284556</v>
      </c>
      <c r="K121" s="134">
        <f>I121-J121</f>
        <v>-6364309.316284556</v>
      </c>
      <c r="L121" s="129">
        <f>J121*$L$118</f>
        <v>1152330.9316284556</v>
      </c>
      <c r="M121" s="134">
        <f>K121-L121</f>
        <v>-7516640.247913011</v>
      </c>
      <c r="N121" s="53">
        <f>I121/J121</f>
        <v>0.4477012512984776</v>
      </c>
    </row>
    <row r="123" spans="6:13" ht="51">
      <c r="F123" s="21" t="s">
        <v>189</v>
      </c>
      <c r="G123" s="21" t="s">
        <v>188</v>
      </c>
      <c r="H123" t="s">
        <v>190</v>
      </c>
      <c r="I123" s="21" t="s">
        <v>209</v>
      </c>
      <c r="J123" s="21" t="s">
        <v>207</v>
      </c>
      <c r="K123" s="21" t="s">
        <v>208</v>
      </c>
      <c r="L123" s="21" t="s">
        <v>210</v>
      </c>
      <c r="M123" s="21"/>
    </row>
    <row r="124" spans="5:13" ht="12.75">
      <c r="E124" t="s">
        <v>157</v>
      </c>
      <c r="F124" s="5">
        <f>$E$120</f>
        <v>1515</v>
      </c>
      <c r="G124" s="134">
        <f>J119/$E$118</f>
        <v>2070.325379818532</v>
      </c>
      <c r="H124" s="134">
        <f>F124-G124</f>
        <v>-555.3253798185319</v>
      </c>
      <c r="I124" s="94">
        <f>H124/F124</f>
        <v>-0.36655140582081314</v>
      </c>
      <c r="J124" s="129">
        <f>G124*$L$118</f>
        <v>207.0325379818532</v>
      </c>
      <c r="K124" s="129">
        <f>H124-J124</f>
        <v>-762.3579178003852</v>
      </c>
      <c r="L124" s="54">
        <f>K124/F124</f>
        <v>-0.5032065464028945</v>
      </c>
      <c r="M124" s="60"/>
    </row>
    <row r="125" spans="5:13" ht="12.75">
      <c r="E125" t="s">
        <v>158</v>
      </c>
      <c r="F125" s="5">
        <f>$E$120</f>
        <v>1515</v>
      </c>
      <c r="G125" s="134">
        <f>J120/$E$118</f>
        <v>1143.9205267250654</v>
      </c>
      <c r="H125" s="134">
        <f>F125-G125</f>
        <v>371.07947327493457</v>
      </c>
      <c r="I125" s="94">
        <f>H125/F125</f>
        <v>0.24493694605606242</v>
      </c>
      <c r="J125" s="129">
        <f>G125*$L$118</f>
        <v>114.39205267250655</v>
      </c>
      <c r="K125" s="129">
        <f>H125-J125</f>
        <v>256.687420602428</v>
      </c>
      <c r="L125" s="54">
        <f>K125/F125</f>
        <v>0.16943064066166866</v>
      </c>
      <c r="M125" s="60"/>
    </row>
    <row r="126" spans="5:13" ht="12.75">
      <c r="E126" t="s">
        <v>164</v>
      </c>
      <c r="F126" s="5">
        <f>E121</f>
        <v>1474</v>
      </c>
      <c r="G126" s="134">
        <f>J121/$E$118</f>
        <v>3292.374090367016</v>
      </c>
      <c r="H126" s="134">
        <f>F126-G126</f>
        <v>-1818.374090367016</v>
      </c>
      <c r="I126" s="94">
        <f>H126/F126</f>
        <v>-1.2336323543873922</v>
      </c>
      <c r="J126" s="129">
        <f>G126*$L$118</f>
        <v>329.2374090367016</v>
      </c>
      <c r="K126" s="129">
        <f>H126-J126</f>
        <v>-2147.6114994037175</v>
      </c>
      <c r="L126" s="54">
        <f>K126/F126</f>
        <v>-1.4569955898261313</v>
      </c>
      <c r="M126" s="60"/>
    </row>
    <row r="128" spans="5:13" ht="12.75">
      <c r="E128" t="s">
        <v>273</v>
      </c>
      <c r="F128" t="s">
        <v>274</v>
      </c>
      <c r="G128" t="s">
        <v>275</v>
      </c>
      <c r="H128" t="s">
        <v>18</v>
      </c>
      <c r="I128" t="s">
        <v>277</v>
      </c>
      <c r="J128" t="s">
        <v>276</v>
      </c>
      <c r="K128" t="s">
        <v>278</v>
      </c>
      <c r="L128" t="s">
        <v>279</v>
      </c>
      <c r="M128" t="s">
        <v>280</v>
      </c>
    </row>
    <row r="129" spans="5:13" ht="12.75">
      <c r="E129" t="s">
        <v>157</v>
      </c>
      <c r="F129" s="60">
        <f>L81</f>
        <v>180.27397260273972</v>
      </c>
      <c r="G129" s="133">
        <f>J99</f>
        <v>3123.354265896294</v>
      </c>
      <c r="H129" s="133">
        <f>-G104</f>
        <v>837.5170623333534</v>
      </c>
      <c r="I129" s="60">
        <f>SUM(F129:H129)</f>
        <v>4141.145300832387</v>
      </c>
      <c r="J129" s="60">
        <f>I129/N73</f>
        <v>75.29355092422522</v>
      </c>
      <c r="K129" s="2">
        <f>J129/G124</f>
        <v>0.036367979477131676</v>
      </c>
      <c r="L129" s="184">
        <f>I129*K87</f>
        <v>28459.536616845668</v>
      </c>
      <c r="M129" s="184">
        <f>L129*60</f>
        <v>1707572.1970107402</v>
      </c>
    </row>
    <row r="130" spans="5:13" ht="12.75">
      <c r="E130" t="s">
        <v>158</v>
      </c>
      <c r="F130" s="60">
        <f>L82</f>
        <v>360.54794520547944</v>
      </c>
      <c r="G130" s="133">
        <f>J100</f>
        <v>2844.160746721946</v>
      </c>
      <c r="H130" s="133">
        <f>-G105</f>
        <v>837.5170623333534</v>
      </c>
      <c r="I130" s="60">
        <f>SUM(F130:H130)</f>
        <v>4042.2257542607786</v>
      </c>
      <c r="J130" s="60">
        <f>I130/N73</f>
        <v>73.49501371383234</v>
      </c>
      <c r="K130" s="2">
        <f>J130/G125</f>
        <v>0.06424835641706815</v>
      </c>
      <c r="L130" s="184">
        <f>I130*K88</f>
        <v>22112.805518536137</v>
      </c>
      <c r="M130" s="184">
        <f>L130*60</f>
        <v>1326768.3311121683</v>
      </c>
    </row>
    <row r="131" spans="5:13" ht="12.75">
      <c r="E131" t="s">
        <v>164</v>
      </c>
      <c r="F131" s="60">
        <f>L83</f>
        <v>0</v>
      </c>
      <c r="G131" s="133">
        <f>J101</f>
        <v>0</v>
      </c>
      <c r="H131" s="133">
        <f>-G106</f>
        <v>0</v>
      </c>
      <c r="I131" s="60">
        <f>SUM(F131:H131)</f>
        <v>0</v>
      </c>
      <c r="J131" s="60">
        <v>0</v>
      </c>
      <c r="K131" s="2">
        <v>0</v>
      </c>
      <c r="L131" s="184">
        <f>I131*K89</f>
        <v>0</v>
      </c>
      <c r="M131" s="184">
        <f>L131*60</f>
        <v>0</v>
      </c>
    </row>
  </sheetData>
  <sheetProtection/>
  <mergeCells count="13">
    <mergeCell ref="M117:M118"/>
    <mergeCell ref="J117:J118"/>
    <mergeCell ref="Y13:Z13"/>
    <mergeCell ref="Y14:Z14"/>
    <mergeCell ref="Y16:Z16"/>
    <mergeCell ref="Y17:Z17"/>
    <mergeCell ref="M8:Q8"/>
    <mergeCell ref="M29:Q29"/>
    <mergeCell ref="M49:Q49"/>
    <mergeCell ref="E2:W4"/>
    <mergeCell ref="G113:H113"/>
    <mergeCell ref="Y11:Z11"/>
    <mergeCell ref="Y12:Z12"/>
  </mergeCells>
  <conditionalFormatting sqref="AE59:AE60">
    <cfRule type="cellIs" priority="1" dxfId="12" operator="lessThan" stopIfTrue="1">
      <formula>$AD$59</formula>
    </cfRule>
  </conditionalFormatting>
  <conditionalFormatting sqref="O11:O15 O19:O23 O32:O36 O40:O44 O52:O56 O60:O64">
    <cfRule type="cellIs" priority="2" dxfId="0" operator="greaterThan" stopIfTrue="1">
      <formula>#REF!</formula>
    </cfRule>
  </conditionalFormatting>
  <dataValidations count="3">
    <dataValidation type="list" allowBlank="1" showInputMessage="1" showErrorMessage="1" sqref="AA64">
      <formula1>$AE$76:$AF$76</formula1>
    </dataValidation>
    <dataValidation type="list" allowBlank="1" showInputMessage="1" showErrorMessage="1" sqref="AA63 F9 F30 F50">
      <formula1>$Y$11:$Y$17</formula1>
    </dataValidation>
    <dataValidation type="list" allowBlank="1" showInputMessage="1" showErrorMessage="1" sqref="AA61 F13:G13 F11:G11 F34:G34 F32:G32 F54:G54 F52:G52">
      <formula1>$Y$20:$Y$28</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AR377"/>
  <sheetViews>
    <sheetView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L9" sqref="L9"/>
    </sheetView>
  </sheetViews>
  <sheetFormatPr defaultColWidth="9.140625" defaultRowHeight="12.75"/>
  <cols>
    <col min="1" max="1" width="2.00390625" style="0" customWidth="1"/>
    <col min="2" max="2" width="16.8515625" style="0" customWidth="1"/>
    <col min="3" max="3" width="5.421875" style="0" customWidth="1"/>
    <col min="4" max="4" width="7.140625" style="0" customWidth="1"/>
    <col min="5" max="5" width="5.57421875" style="0" customWidth="1"/>
    <col min="6" max="8" width="6.57421875" style="0" customWidth="1"/>
    <col min="9" max="9" width="5.421875" style="0" customWidth="1"/>
    <col min="10" max="10" width="6.421875" style="0" customWidth="1"/>
    <col min="11" max="11" width="9.00390625" style="0" customWidth="1"/>
    <col min="12" max="12" width="9.8515625" style="0" customWidth="1"/>
    <col min="15" max="15" width="5.8515625" style="0" customWidth="1"/>
    <col min="16" max="16" width="3.421875" style="0" customWidth="1"/>
    <col min="17" max="17" width="5.57421875" style="0" customWidth="1"/>
    <col min="18" max="18" width="6.00390625" style="0" customWidth="1"/>
    <col min="19" max="19" width="5.00390625" style="0" customWidth="1"/>
    <col min="20" max="20" width="9.421875" style="0" customWidth="1"/>
    <col min="21" max="21" width="7.57421875" style="0" customWidth="1"/>
    <col min="22" max="22" width="7.421875" style="0" customWidth="1"/>
    <col min="23" max="23" width="7.28125" style="0" customWidth="1"/>
    <col min="25" max="25" width="8.8515625" style="0" customWidth="1"/>
    <col min="26" max="26" width="1.57421875" style="0" customWidth="1"/>
    <col min="27" max="27" width="16.8515625" style="0" customWidth="1"/>
    <col min="28" max="28" width="10.140625" style="0" customWidth="1"/>
    <col min="33" max="33" width="12.421875" style="0" customWidth="1"/>
  </cols>
  <sheetData>
    <row r="2" ht="12.75">
      <c r="AB2">
        <f>2745/70</f>
        <v>39.214285714285715</v>
      </c>
    </row>
    <row r="3" spans="1:28" ht="12.75">
      <c r="A3" s="207" t="s">
        <v>98</v>
      </c>
      <c r="B3" s="208"/>
      <c r="C3" s="208"/>
      <c r="D3" s="208"/>
      <c r="E3" s="208"/>
      <c r="F3" s="208"/>
      <c r="G3" s="208"/>
      <c r="H3" s="208"/>
      <c r="I3" s="208"/>
      <c r="J3" s="208"/>
      <c r="K3" s="208"/>
      <c r="L3" s="208"/>
      <c r="M3" s="208"/>
      <c r="N3" s="208"/>
      <c r="O3" s="208"/>
      <c r="P3" s="208"/>
      <c r="Q3" s="208"/>
      <c r="R3" s="208"/>
      <c r="S3" s="208"/>
      <c r="T3" s="208"/>
      <c r="U3" s="208"/>
      <c r="V3" s="208"/>
      <c r="W3" s="208"/>
      <c r="X3" s="208"/>
      <c r="Y3" s="208"/>
      <c r="Z3" s="209"/>
      <c r="AB3">
        <f>5170/112</f>
        <v>46.160714285714285</v>
      </c>
    </row>
    <row r="4" spans="1:26" ht="12.75">
      <c r="A4" s="210"/>
      <c r="B4" s="211"/>
      <c r="C4" s="211"/>
      <c r="D4" s="211"/>
      <c r="E4" s="211"/>
      <c r="F4" s="211"/>
      <c r="G4" s="211"/>
      <c r="H4" s="211"/>
      <c r="I4" s="211"/>
      <c r="J4" s="211"/>
      <c r="K4" s="211"/>
      <c r="L4" s="211"/>
      <c r="M4" s="211"/>
      <c r="N4" s="211"/>
      <c r="O4" s="211"/>
      <c r="P4" s="211"/>
      <c r="Q4" s="211"/>
      <c r="R4" s="211"/>
      <c r="S4" s="211"/>
      <c r="T4" s="211"/>
      <c r="U4" s="211"/>
      <c r="V4" s="211"/>
      <c r="W4" s="211"/>
      <c r="X4" s="211"/>
      <c r="Y4" s="211"/>
      <c r="Z4" s="212"/>
    </row>
    <row r="5" spans="2:33" ht="12.75">
      <c r="B5" t="s">
        <v>137</v>
      </c>
      <c r="C5" t="s">
        <v>140</v>
      </c>
      <c r="D5" t="s">
        <v>141</v>
      </c>
      <c r="E5" t="s">
        <v>142</v>
      </c>
      <c r="AA5" t="s">
        <v>138</v>
      </c>
      <c r="AF5" s="213" t="s">
        <v>94</v>
      </c>
      <c r="AG5" s="213"/>
    </row>
    <row r="6" spans="2:33" ht="34.5" customHeight="1">
      <c r="B6" s="124" t="s">
        <v>139</v>
      </c>
      <c r="C6" s="6"/>
      <c r="D6" s="6"/>
      <c r="E6" s="124">
        <v>261</v>
      </c>
      <c r="U6" s="214" t="s">
        <v>82</v>
      </c>
      <c r="V6" s="215"/>
      <c r="W6" s="215"/>
      <c r="X6" s="215"/>
      <c r="Y6" s="216"/>
      <c r="AA6" t="s">
        <v>56</v>
      </c>
      <c r="AB6" s="6">
        <v>0</v>
      </c>
      <c r="AC6" t="s">
        <v>75</v>
      </c>
      <c r="AD6" t="s">
        <v>89</v>
      </c>
      <c r="AF6" s="213"/>
      <c r="AG6" s="213"/>
    </row>
    <row r="7" spans="1:33" ht="69.75" customHeight="1">
      <c r="A7" s="8" t="s">
        <v>99</v>
      </c>
      <c r="B7" s="79" t="s">
        <v>134</v>
      </c>
      <c r="C7" s="85" t="s">
        <v>56</v>
      </c>
      <c r="D7" s="85" t="s">
        <v>29</v>
      </c>
      <c r="E7" s="85" t="s">
        <v>101</v>
      </c>
      <c r="F7" s="85" t="s">
        <v>120</v>
      </c>
      <c r="G7" s="85" t="s">
        <v>125</v>
      </c>
      <c r="H7" s="85" t="s">
        <v>128</v>
      </c>
      <c r="I7" s="80" t="s">
        <v>113</v>
      </c>
      <c r="J7" s="125" t="s">
        <v>112</v>
      </c>
      <c r="K7" s="73" t="s">
        <v>110</v>
      </c>
      <c r="L7" s="85" t="s">
        <v>19</v>
      </c>
      <c r="M7" s="73" t="s">
        <v>121</v>
      </c>
      <c r="N7" s="8" t="s">
        <v>104</v>
      </c>
      <c r="O7" s="8"/>
      <c r="P7" s="86" t="s">
        <v>119</v>
      </c>
      <c r="Q7" s="79" t="s">
        <v>106</v>
      </c>
      <c r="R7" s="79" t="s">
        <v>123</v>
      </c>
      <c r="S7" s="85" t="s">
        <v>124</v>
      </c>
      <c r="T7" s="73" t="s">
        <v>122</v>
      </c>
      <c r="U7" s="96" t="s">
        <v>87</v>
      </c>
      <c r="V7" s="97" t="s">
        <v>84</v>
      </c>
      <c r="W7" s="97" t="s">
        <v>85</v>
      </c>
      <c r="X7" s="97" t="s">
        <v>29</v>
      </c>
      <c r="Y7" s="98" t="s">
        <v>32</v>
      </c>
      <c r="AA7" s="73" t="s">
        <v>111</v>
      </c>
      <c r="AB7" s="94">
        <f>D375</f>
        <v>0.022</v>
      </c>
      <c r="AC7" t="s">
        <v>76</v>
      </c>
      <c r="AD7" t="s">
        <v>90</v>
      </c>
      <c r="AE7" s="3">
        <f>AB14*VLOOKUP(AB12,AA27:AH33,7,0)/2000</f>
        <v>6300</v>
      </c>
      <c r="AF7" s="213"/>
      <c r="AG7" s="213"/>
    </row>
    <row r="8" spans="1:33" ht="11.25" customHeight="1">
      <c r="A8" s="8"/>
      <c r="B8" s="8"/>
      <c r="C8" s="85"/>
      <c r="D8" s="85"/>
      <c r="E8" s="85"/>
      <c r="F8" s="113">
        <f>F375</f>
        <v>212.69999999999877</v>
      </c>
      <c r="G8" s="111"/>
      <c r="H8" s="113">
        <f>H375</f>
        <v>1750.7424000000008</v>
      </c>
      <c r="I8" s="111"/>
      <c r="J8" s="114">
        <f>J375</f>
        <v>54.380559474028146</v>
      </c>
      <c r="K8" s="120">
        <f>K375</f>
        <v>0.18494475990654605</v>
      </c>
      <c r="L8" s="111"/>
      <c r="M8" s="111"/>
      <c r="N8" s="111"/>
      <c r="O8" s="111"/>
      <c r="P8" s="111"/>
      <c r="Q8" s="113">
        <f>Q375</f>
        <v>2832.5475700894117</v>
      </c>
      <c r="R8" s="111"/>
      <c r="S8" s="111"/>
      <c r="T8" s="112">
        <f>T375</f>
        <v>5665.095140178823</v>
      </c>
      <c r="U8" s="99"/>
      <c r="V8" s="10"/>
      <c r="W8" s="10"/>
      <c r="X8" s="10"/>
      <c r="Y8" s="100"/>
      <c r="AA8" s="8"/>
      <c r="AB8" s="94"/>
      <c r="AD8" t="s">
        <v>133</v>
      </c>
      <c r="AE8" s="3">
        <f>AB14*VLOOKUP(AB12,AA26:AI32,9,0)</f>
        <v>3360</v>
      </c>
      <c r="AF8" s="75" t="s">
        <v>132</v>
      </c>
      <c r="AG8" s="75"/>
    </row>
    <row r="9" spans="2:33" ht="12.75">
      <c r="B9" s="123">
        <v>39224.958333333336</v>
      </c>
      <c r="C9" s="79"/>
      <c r="D9" s="79"/>
      <c r="E9" s="79"/>
      <c r="F9" s="85"/>
      <c r="G9" s="85">
        <v>0</v>
      </c>
      <c r="H9" s="85"/>
      <c r="I9" s="80"/>
      <c r="J9" s="80"/>
      <c r="K9" s="8"/>
      <c r="L9" s="8"/>
      <c r="M9" s="73"/>
      <c r="N9" s="8"/>
      <c r="O9" s="8"/>
      <c r="P9" s="86"/>
      <c r="Q9" s="79"/>
      <c r="R9" s="79"/>
      <c r="S9" s="79"/>
      <c r="T9" s="73"/>
      <c r="U9" s="99"/>
      <c r="V9" s="10"/>
      <c r="W9" s="10"/>
      <c r="X9" s="10"/>
      <c r="Y9" s="100"/>
      <c r="AA9" t="s">
        <v>34</v>
      </c>
      <c r="AB9" s="6">
        <v>15</v>
      </c>
      <c r="AC9" t="s">
        <v>77</v>
      </c>
      <c r="AD9" s="8" t="s">
        <v>19</v>
      </c>
      <c r="AE9" s="5">
        <f>SUM(AE10:AE14)</f>
        <v>263672.8206</v>
      </c>
      <c r="AF9" s="5">
        <f>375*$AB$11*(VLOOKUP($AB$10,$AA$37:$AI$45,4,0))*0.83/$AB$9</f>
        <v>435750</v>
      </c>
      <c r="AG9">
        <f>IF(AF9&lt;AE9,"The resistance of the train exceeds the available Tractive Effort. Add more locomotives or reduce speed.",0)</f>
        <v>0</v>
      </c>
    </row>
    <row r="10" spans="2:33" ht="12.75">
      <c r="B10" s="122">
        <f>(B9+(K10))</f>
        <v>39224.95902777778</v>
      </c>
      <c r="C10">
        <v>0</v>
      </c>
      <c r="D10" s="2">
        <v>0</v>
      </c>
      <c r="E10">
        <v>1</v>
      </c>
      <c r="F10">
        <f>E10</f>
        <v>1</v>
      </c>
      <c r="G10" s="1">
        <f>G9+E10*D10*5280</f>
        <v>0</v>
      </c>
      <c r="H10" s="1"/>
      <c r="I10">
        <v>60</v>
      </c>
      <c r="J10" s="63">
        <f>IF(M10&lt;=N10,M10/L10*308,N10/L10*308)</f>
        <v>60.000000000000014</v>
      </c>
      <c r="K10" s="117">
        <f>(E10/J10)/24</f>
        <v>0.0006944444444444443</v>
      </c>
      <c r="L10" s="1">
        <f>SUM(U10:Y10)</f>
        <v>46681.38552146597</v>
      </c>
      <c r="M10" s="1">
        <f>$L10*$I10/308</f>
        <v>9093.77640028558</v>
      </c>
      <c r="N10" s="1">
        <f aca="true" t="shared" si="0" ref="N10:N41">$AB$11*(VLOOKUP($AB$10,$AA$36:$AI$44,4,0))</f>
        <v>21000</v>
      </c>
      <c r="O10" s="74">
        <f>M10/N10</f>
        <v>0.43303697144217046</v>
      </c>
      <c r="P10" s="84">
        <f>ROUNDUP(IF(M10/N10*9&gt;=8,8,IF(M10/N10*10&gt;0,(M10-M10*0.2)/N10*10,1)),0)</f>
        <v>4</v>
      </c>
      <c r="Q10" s="1">
        <f>IF($AB$11*E10/J10*VLOOKUP($AB$10,$AA$35:$AQ$44,MATCH(P10,$AA$34:$AQ$34,),0)&gt;0,$AB$11*E10/J10*VLOOKUP($AB$10,$AA$35:$AQ$44,MATCH(P10,$AA$34:$AQ$34,),0),0)</f>
        <v>9.782499999999997</v>
      </c>
      <c r="R10" s="1">
        <f>Q10</f>
        <v>9.782499999999997</v>
      </c>
      <c r="S10" s="1">
        <f>Q10/E10</f>
        <v>9.782499999999997</v>
      </c>
      <c r="T10" s="60">
        <f>Q10*$AB$15</f>
        <v>19.564999999999994</v>
      </c>
      <c r="U10" s="101">
        <f>$AB$11*((VLOOKUP($AB$10,$AA$36:$AI$44,7,0)*VLOOKUP($AB$10,$AA$36:$AI$44,5,0)*I10*I10)/(VLOOKUP($AB$10,$AA$36:$AI$44,9,0)/VLOOKUP($AB$10,$AA$36:$AI$44,8,0))/VLOOKUP($AB$10,$AA$36:$AI$44,8,0))+((VLOOKUP($AB$12,$AA$27:$AH$33,4,0)*VLOOKUP($AB$12,$AA$27:$AH$33,5,0)*I10*I10)/(((VLOOKUP($AB$12,$AA$27:$AH$33,7,0)/2000))/((VLOOKUP($AB$12,$AA$27:$AH$33,8,0))))/VLOOKUP($AB$12,$AA$27:$AH$33,8,0))*$AE$7</f>
        <v>21459.581151832463</v>
      </c>
      <c r="V10" s="102">
        <f>$AB$11*(1.3+0.29/((VLOOKUP($AB$10,$AA$36:$AI$44,9,0))/VLOOKUP($AB$10,$AA$36:$AI$44,8,0)))+(1.3+0.29/((VLOOKUP($AB$12,$AA$27:$AH$33,7,0))/VLOOKUP($AB$12,$AA$27:$AH$33,8,0)))*$AE$7</f>
        <v>8199.20436963351</v>
      </c>
      <c r="W10" s="102">
        <f>$AB$11*(VLOOKUP($AB$10,$AA$36:$AI$44,6,0)*I10)+(VLOOKUP($AB$12,$AA$27:$AH$33,3,0)*I10)*$AE$7</f>
        <v>17022.6</v>
      </c>
      <c r="X10" s="102">
        <f aca="true" t="shared" si="1" ref="X10:X73">$AB$11*(20*D10*(VLOOKUP($AB$10,$AA$36:$AI$44,9,0)))+(20*D10*(VLOOKUP($AB$12,$AA$26:$AH$33,7,0)/2000))*$AE$7</f>
        <v>0</v>
      </c>
      <c r="Y10" s="103">
        <f>(IF(E10*5280&lt;$AE$8,($AB$14*(0.8*C9*((VLOOKUP($AB$12,$AA$27:$AH$33,7,0))/2000/2000))*$AE$7),0)+$AB$11*(0.8*C10*(VLOOKUP($AB$10,$AA$36:$AI$44,9,0))/2000)+$AB$14*(0.8*C10*((VLOOKUP($AB$12,$AA$27:$AH$33,7,0))/2000/2000))*$AE$7)</f>
        <v>0</v>
      </c>
      <c r="AA10" t="s">
        <v>72</v>
      </c>
      <c r="AB10" s="6" t="s">
        <v>42</v>
      </c>
      <c r="AC10" t="s">
        <v>78</v>
      </c>
      <c r="AD10" t="s">
        <v>91</v>
      </c>
      <c r="AE10" s="5">
        <f>AD20*AE7+(VLOOKUP(AB10,AA36:AI44,9,0)*AB11*AB20)</f>
        <v>9940.320600000001</v>
      </c>
      <c r="AF10" s="54">
        <f>AE10/$AE$9</f>
        <v>0.03769945107493571</v>
      </c>
      <c r="AG10" s="5">
        <f>$AE$9*$AB$9/308</f>
        <v>12841.208795454544</v>
      </c>
    </row>
    <row r="11" spans="2:33" ht="15.75">
      <c r="B11" s="122">
        <f>(B10+(K11))</f>
        <v>39224.959861111114</v>
      </c>
      <c r="C11">
        <v>3</v>
      </c>
      <c r="D11" s="2">
        <v>0.004</v>
      </c>
      <c r="E11">
        <v>0.8</v>
      </c>
      <c r="F11">
        <f>E11+F10</f>
        <v>1.8</v>
      </c>
      <c r="G11" s="1">
        <f aca="true" t="shared" si="2" ref="G11:G74">G10+E11*D11*5280</f>
        <v>16.896</v>
      </c>
      <c r="H11" s="1">
        <f>IF(G11-G10&gt;0,G11-G10,0)</f>
        <v>16.896</v>
      </c>
      <c r="I11">
        <v>40</v>
      </c>
      <c r="J11" s="64">
        <f aca="true" t="shared" si="3" ref="J11:J41">IF(M11&lt;=N11,M11/L11*308,N11/L11*308)</f>
        <v>39.99999999999999</v>
      </c>
      <c r="K11" s="117">
        <f aca="true" t="shared" si="4" ref="K11:K74">(E11/J11)/24</f>
        <v>0.0008333333333333335</v>
      </c>
      <c r="L11" s="1">
        <f aca="true" t="shared" si="5" ref="L11:L73">SUM(U11:Y11)</f>
        <v>122181.76039267016</v>
      </c>
      <c r="M11" s="1">
        <f aca="true" t="shared" si="6" ref="M11:M74">$L11*$I11/308</f>
        <v>15867.761089957163</v>
      </c>
      <c r="N11" s="1">
        <f t="shared" si="0"/>
        <v>21000</v>
      </c>
      <c r="O11" s="74">
        <f aca="true" t="shared" si="7" ref="O11:O32">M11/N11</f>
        <v>0.7556076709503411</v>
      </c>
      <c r="P11" s="84">
        <f aca="true" t="shared" si="8" ref="P11:P74">ROUNDUP(IF(M11/N11*9&gt;=8,8,IF(M11/N11*10&gt;0,(M11-M11*0.3)/N11*10,1)),0)</f>
        <v>6</v>
      </c>
      <c r="Q11" s="1">
        <f aca="true" t="shared" si="9" ref="Q11:Q38">IF($AB$11*E11/J11*VLOOKUP($AB$10,$AA$35:$AQ$44,MATCH(P11,$AA$34:$AQ$34,),0)&gt;0,$AB$11*E11/J11*VLOOKUP($AB$10,$AA$35:$AQ$44,MATCH(P11,$AA$34:$AQ$34,),0),0)</f>
        <v>17.608500000000003</v>
      </c>
      <c r="R11" s="1">
        <f>Q11+R10</f>
        <v>27.391</v>
      </c>
      <c r="S11" s="1">
        <f aca="true" t="shared" si="10" ref="S11:S74">Q11/E11</f>
        <v>22.010625</v>
      </c>
      <c r="T11" s="60">
        <f aca="true" t="shared" si="11" ref="T11:T74">Q11*$AB$15</f>
        <v>35.217000000000006</v>
      </c>
      <c r="U11" s="101">
        <f aca="true" t="shared" si="12" ref="U11:U73">$AB$11*((VLOOKUP($AB$10,$AA$36:$AI$44,7,0)*VLOOKUP($AB$10,$AA$36:$AI$44,5,0)*I11*I11)/(VLOOKUP($AB$10,$AA$36:$AI$44,9,0)/VLOOKUP($AB$10,$AA$36:$AI$44,8,0))/VLOOKUP($AB$10,$AA$36:$AI$44,8,0))+((VLOOKUP($AB$12,$AA$27:$AH$33,4,0)*VLOOKUP($AB$12,$AA$27:$AH$33,5,0)*I11*I11)/(((VLOOKUP($AB$12,$AA$27:$AH$33,7,0)/2000))/((VLOOKUP($AB$12,$AA$27:$AH$33,8,0))))/VLOOKUP($AB$12,$AA$27:$AH$33,8,0))*$AE$7</f>
        <v>9537.59162303665</v>
      </c>
      <c r="V11" s="102">
        <f aca="true" t="shared" si="13" ref="V11:V74">$AB$11*(1.3+0.29/((VLOOKUP($AB$10,$AA$36:$AI$44,9,0))/VLOOKUP($AB$10,$AA$36:$AI$44,8,0)))+(1.3+0.29/((VLOOKUP($AB$12,$AA$27:$AH$33,7,0))/VLOOKUP($AB$12,$AA$27:$AH$33,8,0)))*$AE$7</f>
        <v>8199.20436963351</v>
      </c>
      <c r="W11" s="102">
        <f aca="true" t="shared" si="14" ref="W11:W73">$AB$11*(VLOOKUP($AB$10,$AA$36:$AI$44,6,0)*I11)+(VLOOKUP($AB$12,$AA$27:$AH$33,3,0)*I11)*$AE$7</f>
        <v>11348.399999999998</v>
      </c>
      <c r="X11" s="102">
        <f t="shared" si="1"/>
        <v>45466.96</v>
      </c>
      <c r="Y11" s="103">
        <f aca="true" t="shared" si="15" ref="Y11:Y74">(IF(E11*5280&lt;$AE$8,($AB$14*(0.8*C10*((VLOOKUP($AB$12,$AA$27:$AH$33,7,0))/2000/2000))*$AE$7),0)+$AB$11*(0.8*C11*(VLOOKUP($AB$10,$AA$36:$AI$44,9,0))/2000)+$AB$14*(0.8*C11*((VLOOKUP($AB$12,$AA$27:$AH$33,7,0))/2000/2000))*$AE$7)</f>
        <v>47629.6044</v>
      </c>
      <c r="AA11" t="s">
        <v>74</v>
      </c>
      <c r="AB11" s="62">
        <v>7</v>
      </c>
      <c r="AD11" t="s">
        <v>92</v>
      </c>
      <c r="AE11" s="5">
        <f>AE7*AD21</f>
        <v>4252.5</v>
      </c>
      <c r="AF11" s="54">
        <f>AE11/$AE$9</f>
        <v>0.01612794216075527</v>
      </c>
      <c r="AG11" s="59">
        <f>ROUNDUP(AG10/VLOOKUP(AB10,AA36:AI44,4,0),0)</f>
        <v>5</v>
      </c>
    </row>
    <row r="12" spans="2:32" ht="12.75">
      <c r="B12" s="122">
        <f aca="true" t="shared" si="16" ref="B12:B74">(B11+(K12))</f>
        <v>39224.960361111116</v>
      </c>
      <c r="C12">
        <v>4</v>
      </c>
      <c r="D12" s="2">
        <v>0.006</v>
      </c>
      <c r="E12">
        <v>0.3</v>
      </c>
      <c r="F12">
        <f aca="true" t="shared" si="17" ref="F12:F75">E12+F11</f>
        <v>2.1</v>
      </c>
      <c r="G12" s="1">
        <f t="shared" si="2"/>
        <v>26.4</v>
      </c>
      <c r="H12" s="1">
        <f aca="true" t="shared" si="18" ref="H12:H75">IF(G12-G11&gt;0,G12-G11,0)</f>
        <v>9.503999999999998</v>
      </c>
      <c r="I12">
        <v>25</v>
      </c>
      <c r="J12" s="64">
        <f t="shared" si="3"/>
        <v>25</v>
      </c>
      <c r="K12" s="117">
        <f t="shared" si="4"/>
        <v>0.0005</v>
      </c>
      <c r="L12" s="1">
        <f t="shared" si="5"/>
        <v>198352.1552973822</v>
      </c>
      <c r="M12" s="1">
        <f t="shared" si="6"/>
        <v>16100.012605306998</v>
      </c>
      <c r="N12" s="1">
        <f t="shared" si="0"/>
        <v>21000</v>
      </c>
      <c r="O12" s="74">
        <f t="shared" si="7"/>
        <v>0.7666672669193808</v>
      </c>
      <c r="P12" s="84">
        <f t="shared" si="8"/>
        <v>6</v>
      </c>
      <c r="Q12" s="1">
        <f t="shared" si="9"/>
        <v>10.5651</v>
      </c>
      <c r="R12" s="1">
        <f aca="true" t="shared" si="19" ref="R12:R75">Q12+R11</f>
        <v>37.9561</v>
      </c>
      <c r="S12" s="1">
        <f t="shared" si="10"/>
        <v>35.217</v>
      </c>
      <c r="T12" s="60">
        <f t="shared" si="11"/>
        <v>21.1302</v>
      </c>
      <c r="U12" s="101">
        <f t="shared" si="12"/>
        <v>3725.6217277486912</v>
      </c>
      <c r="V12" s="102">
        <f t="shared" si="13"/>
        <v>8199.20436963351</v>
      </c>
      <c r="W12" s="102">
        <f t="shared" si="14"/>
        <v>7092.75</v>
      </c>
      <c r="X12" s="102">
        <f t="shared" si="1"/>
        <v>68200.44</v>
      </c>
      <c r="Y12" s="103">
        <f t="shared" si="15"/>
        <v>111134.1392</v>
      </c>
      <c r="AA12" t="s">
        <v>57</v>
      </c>
      <c r="AB12" s="6" t="s">
        <v>37</v>
      </c>
      <c r="AD12" t="s">
        <v>93</v>
      </c>
      <c r="AE12" s="5">
        <f>AE7*AD22</f>
        <v>249479.99999999997</v>
      </c>
      <c r="AF12" s="54">
        <f>AE12/$AE$9</f>
        <v>0.946172606764309</v>
      </c>
    </row>
    <row r="13" spans="2:32" ht="12.75">
      <c r="B13" s="122">
        <f t="shared" si="16"/>
        <v>39224.96119444445</v>
      </c>
      <c r="C13">
        <v>4</v>
      </c>
      <c r="D13" s="2">
        <v>0.008</v>
      </c>
      <c r="E13">
        <v>0.3</v>
      </c>
      <c r="F13">
        <f t="shared" si="17"/>
        <v>2.4</v>
      </c>
      <c r="G13" s="1">
        <f t="shared" si="2"/>
        <v>39.071999999999996</v>
      </c>
      <c r="H13" s="1">
        <f t="shared" si="18"/>
        <v>12.671999999999997</v>
      </c>
      <c r="I13">
        <v>15</v>
      </c>
      <c r="J13" s="64">
        <f t="shared" si="3"/>
        <v>14.999999999999998</v>
      </c>
      <c r="K13" s="117">
        <f t="shared" si="4"/>
        <v>0.0008333333333333334</v>
      </c>
      <c r="L13" s="1">
        <f>SUM(U13:Y13)</f>
        <v>231740.13739162305</v>
      </c>
      <c r="M13" s="1">
        <f t="shared" si="6"/>
        <v>11286.045652189434</v>
      </c>
      <c r="N13" s="1">
        <f t="shared" si="0"/>
        <v>21000</v>
      </c>
      <c r="O13" s="74">
        <f t="shared" si="7"/>
        <v>0.537430745342354</v>
      </c>
      <c r="P13" s="84">
        <f t="shared" si="8"/>
        <v>4</v>
      </c>
      <c r="Q13" s="1">
        <f t="shared" si="9"/>
        <v>11.739</v>
      </c>
      <c r="R13" s="1">
        <f t="shared" si="19"/>
        <v>49.6951</v>
      </c>
      <c r="S13" s="1">
        <f t="shared" si="10"/>
        <v>39.13</v>
      </c>
      <c r="T13" s="60">
        <f t="shared" si="11"/>
        <v>23.478</v>
      </c>
      <c r="U13" s="101">
        <f t="shared" si="12"/>
        <v>1341.223821989529</v>
      </c>
      <c r="V13" s="102">
        <f t="shared" si="13"/>
        <v>8199.20436963351</v>
      </c>
      <c r="W13" s="102">
        <f t="shared" si="14"/>
        <v>4255.65</v>
      </c>
      <c r="X13" s="102">
        <f t="shared" si="1"/>
        <v>90933.92</v>
      </c>
      <c r="Y13" s="103">
        <f t="shared" si="15"/>
        <v>127010.1392</v>
      </c>
      <c r="AB13" s="6" t="s">
        <v>81</v>
      </c>
      <c r="AD13" t="s">
        <v>29</v>
      </c>
      <c r="AE13" s="5">
        <f>$AE$7*AD23+AB23*AB11</f>
        <v>0</v>
      </c>
      <c r="AF13" s="54">
        <f>AE13/$AE$9</f>
        <v>0</v>
      </c>
    </row>
    <row r="14" spans="2:35" ht="12.75">
      <c r="B14" s="122">
        <f t="shared" si="16"/>
        <v>39224.96230555556</v>
      </c>
      <c r="C14">
        <v>3</v>
      </c>
      <c r="D14" s="2">
        <v>0.009</v>
      </c>
      <c r="E14">
        <v>0.4</v>
      </c>
      <c r="F14">
        <f t="shared" si="17"/>
        <v>2.8</v>
      </c>
      <c r="G14" s="1">
        <f t="shared" si="2"/>
        <v>58.08</v>
      </c>
      <c r="H14" s="1">
        <f t="shared" si="18"/>
        <v>19.008000000000003</v>
      </c>
      <c r="I14">
        <v>15</v>
      </c>
      <c r="J14" s="64">
        <f t="shared" si="3"/>
        <v>14.999999999999998</v>
      </c>
      <c r="K14" s="117">
        <f t="shared" si="4"/>
        <v>0.0011111111111111113</v>
      </c>
      <c r="L14" s="1">
        <f t="shared" si="5"/>
        <v>227230.34259162302</v>
      </c>
      <c r="M14" s="1">
        <f t="shared" si="6"/>
        <v>11066.412788553069</v>
      </c>
      <c r="N14" s="1">
        <f t="shared" si="0"/>
        <v>21000</v>
      </c>
      <c r="O14" s="74">
        <f t="shared" si="7"/>
        <v>0.5269720375501461</v>
      </c>
      <c r="P14" s="84">
        <f t="shared" si="8"/>
        <v>4</v>
      </c>
      <c r="Q14" s="1">
        <f t="shared" si="9"/>
        <v>15.652000000000003</v>
      </c>
      <c r="R14" s="1">
        <f t="shared" si="19"/>
        <v>65.3471</v>
      </c>
      <c r="S14" s="1">
        <f t="shared" si="10"/>
        <v>39.13</v>
      </c>
      <c r="T14" s="60">
        <f t="shared" si="11"/>
        <v>31.304000000000006</v>
      </c>
      <c r="U14" s="101">
        <f t="shared" si="12"/>
        <v>1341.223821989529</v>
      </c>
      <c r="V14" s="102">
        <f t="shared" si="13"/>
        <v>8199.20436963351</v>
      </c>
      <c r="W14" s="102">
        <f t="shared" si="14"/>
        <v>4255.65</v>
      </c>
      <c r="X14" s="102">
        <f t="shared" si="1"/>
        <v>102300.66</v>
      </c>
      <c r="Y14" s="103">
        <f t="shared" si="15"/>
        <v>111133.6044</v>
      </c>
      <c r="AA14" t="s">
        <v>73</v>
      </c>
      <c r="AB14" s="6">
        <v>70</v>
      </c>
      <c r="AD14" t="s">
        <v>56</v>
      </c>
      <c r="AE14" s="5">
        <f>$AE$7*AD24</f>
        <v>0</v>
      </c>
      <c r="AF14" s="54">
        <f>AE14/$AE$9</f>
        <v>0</v>
      </c>
      <c r="AH14" s="74"/>
      <c r="AI14" s="74"/>
    </row>
    <row r="15" spans="2:35" ht="12.75">
      <c r="B15" s="122">
        <f t="shared" si="16"/>
        <v>39224.96452777778</v>
      </c>
      <c r="C15">
        <v>2</v>
      </c>
      <c r="D15" s="2">
        <v>0.012</v>
      </c>
      <c r="E15">
        <v>0.8</v>
      </c>
      <c r="F15">
        <f t="shared" si="17"/>
        <v>3.5999999999999996</v>
      </c>
      <c r="G15" s="1">
        <f t="shared" si="2"/>
        <v>108.768</v>
      </c>
      <c r="H15" s="1">
        <f t="shared" si="18"/>
        <v>50.688</v>
      </c>
      <c r="I15">
        <v>15</v>
      </c>
      <c r="J15" s="64">
        <f t="shared" si="3"/>
        <v>15</v>
      </c>
      <c r="K15" s="117">
        <f t="shared" si="4"/>
        <v>0.0022222222222222222</v>
      </c>
      <c r="L15" s="1">
        <f t="shared" si="5"/>
        <v>181950.02779162303</v>
      </c>
      <c r="M15" s="1">
        <f t="shared" si="6"/>
        <v>8861.202652189433</v>
      </c>
      <c r="N15" s="1">
        <f t="shared" si="0"/>
        <v>21000</v>
      </c>
      <c r="O15" s="74">
        <f t="shared" si="7"/>
        <v>0.42196203105663965</v>
      </c>
      <c r="P15" s="84">
        <f t="shared" si="8"/>
        <v>3</v>
      </c>
      <c r="Q15" s="1">
        <f t="shared" si="9"/>
        <v>23.477999999999998</v>
      </c>
      <c r="R15" s="1">
        <f t="shared" si="19"/>
        <v>88.82509999999999</v>
      </c>
      <c r="S15" s="1">
        <f t="shared" si="10"/>
        <v>29.347499999999997</v>
      </c>
      <c r="T15" s="60">
        <f t="shared" si="11"/>
        <v>46.955999999999996</v>
      </c>
      <c r="U15" s="101">
        <f t="shared" si="12"/>
        <v>1341.223821989529</v>
      </c>
      <c r="V15" s="102">
        <f t="shared" si="13"/>
        <v>8199.20436963351</v>
      </c>
      <c r="W15" s="102">
        <f t="shared" si="14"/>
        <v>4255.65</v>
      </c>
      <c r="X15" s="102">
        <f t="shared" si="1"/>
        <v>136400.88</v>
      </c>
      <c r="Y15" s="103">
        <f t="shared" si="15"/>
        <v>31753.0696</v>
      </c>
      <c r="AA15" s="8" t="s">
        <v>107</v>
      </c>
      <c r="AB15" s="61">
        <v>2</v>
      </c>
      <c r="AC15" t="s">
        <v>109</v>
      </c>
      <c r="AF15" s="53"/>
      <c r="AH15" s="74"/>
      <c r="AI15" s="74"/>
    </row>
    <row r="16" spans="2:35" ht="12.75">
      <c r="B16" s="122">
        <f t="shared" si="16"/>
        <v>39224.96536111111</v>
      </c>
      <c r="C16">
        <v>3</v>
      </c>
      <c r="D16" s="2">
        <v>0.012</v>
      </c>
      <c r="E16">
        <v>0.3</v>
      </c>
      <c r="F16">
        <f t="shared" si="17"/>
        <v>3.8999999999999995</v>
      </c>
      <c r="G16" s="1">
        <f t="shared" si="2"/>
        <v>127.776</v>
      </c>
      <c r="H16" s="1">
        <f t="shared" si="18"/>
        <v>19.007999999999996</v>
      </c>
      <c r="I16">
        <v>15</v>
      </c>
      <c r="J16" s="64">
        <f t="shared" si="3"/>
        <v>15</v>
      </c>
      <c r="K16" s="117">
        <f t="shared" si="4"/>
        <v>0.0008333333333333334</v>
      </c>
      <c r="L16" s="1">
        <f t="shared" si="5"/>
        <v>229578.56259162305</v>
      </c>
      <c r="M16" s="1">
        <f t="shared" si="6"/>
        <v>11180.774152189435</v>
      </c>
      <c r="N16" s="1">
        <f t="shared" si="0"/>
        <v>21000</v>
      </c>
      <c r="O16" s="74">
        <f t="shared" si="7"/>
        <v>0.5324178167709255</v>
      </c>
      <c r="P16" s="84">
        <f t="shared" si="8"/>
        <v>4</v>
      </c>
      <c r="Q16" s="1">
        <f t="shared" si="9"/>
        <v>11.739</v>
      </c>
      <c r="R16" s="1">
        <f t="shared" si="19"/>
        <v>100.5641</v>
      </c>
      <c r="S16" s="1">
        <f t="shared" si="10"/>
        <v>39.13</v>
      </c>
      <c r="T16" s="60">
        <f t="shared" si="11"/>
        <v>23.478</v>
      </c>
      <c r="U16" s="101">
        <f t="shared" si="12"/>
        <v>1341.223821989529</v>
      </c>
      <c r="V16" s="102">
        <f t="shared" si="13"/>
        <v>8199.20436963351</v>
      </c>
      <c r="W16" s="102">
        <f t="shared" si="14"/>
        <v>4255.65</v>
      </c>
      <c r="X16" s="102">
        <f t="shared" si="1"/>
        <v>136400.88</v>
      </c>
      <c r="Y16" s="103">
        <f t="shared" si="15"/>
        <v>79381.6044</v>
      </c>
      <c r="AH16" s="74"/>
      <c r="AI16" s="74"/>
    </row>
    <row r="17" spans="2:35" ht="38.25">
      <c r="B17" s="122">
        <f t="shared" si="16"/>
        <v>39224.96702777778</v>
      </c>
      <c r="C17">
        <v>3</v>
      </c>
      <c r="D17" s="2">
        <v>0.012</v>
      </c>
      <c r="E17">
        <v>0.4</v>
      </c>
      <c r="F17">
        <f t="shared" si="17"/>
        <v>4.3</v>
      </c>
      <c r="G17" s="1">
        <f t="shared" si="2"/>
        <v>153.12</v>
      </c>
      <c r="H17" s="1">
        <f t="shared" si="18"/>
        <v>25.34400000000001</v>
      </c>
      <c r="I17">
        <v>10</v>
      </c>
      <c r="J17" s="64">
        <f t="shared" si="3"/>
        <v>10.000000000000002</v>
      </c>
      <c r="K17" s="117">
        <f t="shared" si="4"/>
        <v>0.0016666666666666663</v>
      </c>
      <c r="L17" s="1">
        <f t="shared" si="5"/>
        <v>243290.88824607333</v>
      </c>
      <c r="M17" s="1">
        <f t="shared" si="6"/>
        <v>7899.0548131842</v>
      </c>
      <c r="N17" s="1">
        <f t="shared" si="0"/>
        <v>21000</v>
      </c>
      <c r="O17" s="74">
        <f t="shared" si="7"/>
        <v>0.3761454672944857</v>
      </c>
      <c r="P17" s="84">
        <f t="shared" si="8"/>
        <v>3</v>
      </c>
      <c r="Q17" s="1">
        <f t="shared" si="9"/>
        <v>17.608499999999996</v>
      </c>
      <c r="R17" s="1">
        <f t="shared" si="19"/>
        <v>118.17259999999999</v>
      </c>
      <c r="S17" s="1">
        <f t="shared" si="10"/>
        <v>44.02124999999999</v>
      </c>
      <c r="T17" s="60">
        <f t="shared" si="11"/>
        <v>35.21699999999999</v>
      </c>
      <c r="U17" s="101">
        <f t="shared" si="12"/>
        <v>596.0994764397906</v>
      </c>
      <c r="V17" s="102">
        <f t="shared" si="13"/>
        <v>8199.20436963351</v>
      </c>
      <c r="W17" s="102">
        <f t="shared" si="14"/>
        <v>2837.0999999999995</v>
      </c>
      <c r="X17" s="102">
        <f t="shared" si="1"/>
        <v>136400.88</v>
      </c>
      <c r="Y17" s="103">
        <f t="shared" si="15"/>
        <v>95257.6044</v>
      </c>
      <c r="AB17" s="56" t="s">
        <v>72</v>
      </c>
      <c r="AD17" t="s">
        <v>88</v>
      </c>
      <c r="AG17" s="21" t="s">
        <v>72</v>
      </c>
      <c r="AH17" s="21" t="s">
        <v>143</v>
      </c>
      <c r="AI17" s="74"/>
    </row>
    <row r="18" spans="2:35" ht="12.75">
      <c r="B18" s="122">
        <f t="shared" si="16"/>
        <v>39224.96827777778</v>
      </c>
      <c r="C18">
        <v>4</v>
      </c>
      <c r="D18" s="2">
        <v>0.012</v>
      </c>
      <c r="E18">
        <v>0.3</v>
      </c>
      <c r="F18">
        <f t="shared" si="17"/>
        <v>4.6</v>
      </c>
      <c r="G18" s="1">
        <f t="shared" si="2"/>
        <v>172.12800000000001</v>
      </c>
      <c r="H18" s="1">
        <f t="shared" si="18"/>
        <v>19.00800000000001</v>
      </c>
      <c r="I18">
        <v>10</v>
      </c>
      <c r="J18" s="64">
        <f t="shared" si="3"/>
        <v>10.000000000000002</v>
      </c>
      <c r="K18" s="117">
        <f t="shared" si="4"/>
        <v>0.0012499999999999996</v>
      </c>
      <c r="L18" s="1">
        <f t="shared" si="5"/>
        <v>259167.42304607332</v>
      </c>
      <c r="M18" s="1">
        <f t="shared" si="6"/>
        <v>8414.526722275108</v>
      </c>
      <c r="N18" s="1">
        <f t="shared" si="0"/>
        <v>21000</v>
      </c>
      <c r="O18" s="74">
        <f t="shared" si="7"/>
        <v>0.40069174867976703</v>
      </c>
      <c r="P18" s="84">
        <f t="shared" si="8"/>
        <v>3</v>
      </c>
      <c r="Q18" s="1">
        <f t="shared" si="9"/>
        <v>13.206374999999998</v>
      </c>
      <c r="R18" s="1">
        <f t="shared" si="19"/>
        <v>131.378975</v>
      </c>
      <c r="S18" s="1">
        <f t="shared" si="10"/>
        <v>44.021249999999995</v>
      </c>
      <c r="T18" s="60">
        <f t="shared" si="11"/>
        <v>26.412749999999996</v>
      </c>
      <c r="U18" s="101">
        <f t="shared" si="12"/>
        <v>596.0994764397906</v>
      </c>
      <c r="V18" s="102">
        <f t="shared" si="13"/>
        <v>8199.20436963351</v>
      </c>
      <c r="W18" s="102">
        <f t="shared" si="14"/>
        <v>2837.0999999999995</v>
      </c>
      <c r="X18" s="102">
        <f t="shared" si="1"/>
        <v>136400.88</v>
      </c>
      <c r="Y18" s="103">
        <f t="shared" si="15"/>
        <v>111134.1392</v>
      </c>
      <c r="AA18" t="s">
        <v>19</v>
      </c>
      <c r="AB18" s="52">
        <f>SUM(AB19:AB23)</f>
        <v>85.70317308900523</v>
      </c>
      <c r="AC18" t="s">
        <v>79</v>
      </c>
      <c r="AD18" s="52">
        <f>SUM(AD19:AD23)</f>
        <v>41.78750644444444</v>
      </c>
      <c r="AG18" s="21" t="s">
        <v>144</v>
      </c>
      <c r="AH18" s="126">
        <v>0.18</v>
      </c>
      <c r="AI18" s="74"/>
    </row>
    <row r="19" spans="2:35" ht="12.75">
      <c r="B19" s="122">
        <f t="shared" si="16"/>
        <v>39224.97036111111</v>
      </c>
      <c r="C19">
        <v>6</v>
      </c>
      <c r="D19" s="2">
        <v>0.012</v>
      </c>
      <c r="E19">
        <v>0.5</v>
      </c>
      <c r="F19">
        <f t="shared" si="17"/>
        <v>5.1</v>
      </c>
      <c r="G19" s="1">
        <f t="shared" si="2"/>
        <v>203.80800000000002</v>
      </c>
      <c r="H19" s="1">
        <f t="shared" si="18"/>
        <v>31.680000000000007</v>
      </c>
      <c r="I19">
        <v>10</v>
      </c>
      <c r="J19" s="64">
        <f t="shared" si="3"/>
        <v>10.000000000000002</v>
      </c>
      <c r="K19" s="117">
        <f t="shared" si="4"/>
        <v>0.002083333333333333</v>
      </c>
      <c r="L19" s="1">
        <f t="shared" si="5"/>
        <v>306796.49264607334</v>
      </c>
      <c r="M19" s="1">
        <f t="shared" si="6"/>
        <v>9960.925085911473</v>
      </c>
      <c r="N19" s="1">
        <f t="shared" si="0"/>
        <v>21000</v>
      </c>
      <c r="O19" s="74">
        <f t="shared" si="7"/>
        <v>0.4743297659957844</v>
      </c>
      <c r="P19" s="84">
        <f t="shared" si="8"/>
        <v>4</v>
      </c>
      <c r="Q19" s="1">
        <f t="shared" si="9"/>
        <v>29.347499999999993</v>
      </c>
      <c r="R19" s="1">
        <f t="shared" si="19"/>
        <v>160.726475</v>
      </c>
      <c r="S19" s="1">
        <f t="shared" si="10"/>
        <v>58.694999999999986</v>
      </c>
      <c r="T19" s="60">
        <f t="shared" si="11"/>
        <v>58.694999999999986</v>
      </c>
      <c r="U19" s="101">
        <f t="shared" si="12"/>
        <v>596.0994764397906</v>
      </c>
      <c r="V19" s="102">
        <f t="shared" si="13"/>
        <v>8199.20436963351</v>
      </c>
      <c r="W19" s="102">
        <f t="shared" si="14"/>
        <v>2837.0999999999995</v>
      </c>
      <c r="X19" s="102">
        <f t="shared" si="1"/>
        <v>136400.88</v>
      </c>
      <c r="Y19" s="103">
        <f t="shared" si="15"/>
        <v>158763.2088</v>
      </c>
      <c r="AA19" t="s">
        <v>68</v>
      </c>
      <c r="AB19" s="52">
        <f>(VLOOKUP($AB$10,$AA$36:$AI$44,7,0)*VLOOKUP($AB$10,$AA$36:$AI$44,5,0)*$AB$9*$AB$9)/(VLOOKUP($AB$10,$AA$36:$AI$44,9,0)/VLOOKUP($AB$10,$AA$36:$AI$44,8,0))/VLOOKUP($AB$10,$AA$36:$AI$44,8,0)</f>
        <v>0.35340314136125656</v>
      </c>
      <c r="AC19" t="s">
        <v>79</v>
      </c>
      <c r="AD19" s="52">
        <f>(VLOOKUP($AB$12,$AA$27:$AH$33,4,0)*VLOOKUP($AB$12,$AA$27:$AH$33,5,0)*$AB$9*$AB$9)/(((VLOOKUP($AB$12,$AA$27:$AH$33,7,0)/2000))/((VLOOKUP($AB$12,$AA$27:$AH$33,8,0))))/VLOOKUP($AB$12,$AA$27:$AH$33,8,0)</f>
        <v>0.21250000000000005</v>
      </c>
      <c r="AG19" s="21" t="s">
        <v>145</v>
      </c>
      <c r="AH19" s="126">
        <v>0.21</v>
      </c>
      <c r="AI19" s="74"/>
    </row>
    <row r="20" spans="2:35" ht="12.75">
      <c r="B20" s="122">
        <f t="shared" si="16"/>
        <v>39224.97286111111</v>
      </c>
      <c r="C20">
        <v>4</v>
      </c>
      <c r="D20" s="2">
        <v>0.012</v>
      </c>
      <c r="E20">
        <v>0.6</v>
      </c>
      <c r="F20">
        <f t="shared" si="17"/>
        <v>5.699999999999999</v>
      </c>
      <c r="G20" s="1">
        <f t="shared" si="2"/>
        <v>241.824</v>
      </c>
      <c r="H20" s="1">
        <f t="shared" si="18"/>
        <v>38.01599999999999</v>
      </c>
      <c r="I20">
        <v>10</v>
      </c>
      <c r="J20" s="64">
        <f t="shared" si="3"/>
        <v>10.000000000000002</v>
      </c>
      <c r="K20" s="117">
        <f t="shared" si="4"/>
        <v>0.002499999999999999</v>
      </c>
      <c r="L20" s="1">
        <f t="shared" si="5"/>
        <v>306795.4230460733</v>
      </c>
      <c r="M20" s="1">
        <f t="shared" si="6"/>
        <v>9960.890358638744</v>
      </c>
      <c r="N20" s="1">
        <f t="shared" si="0"/>
        <v>21000</v>
      </c>
      <c r="O20" s="74">
        <f t="shared" si="7"/>
        <v>0.4743281123161307</v>
      </c>
      <c r="P20" s="84">
        <f t="shared" si="8"/>
        <v>4</v>
      </c>
      <c r="Q20" s="1">
        <f t="shared" si="9"/>
        <v>35.21699999999999</v>
      </c>
      <c r="R20" s="1">
        <f t="shared" si="19"/>
        <v>195.94347499999998</v>
      </c>
      <c r="S20" s="1">
        <f t="shared" si="10"/>
        <v>58.694999999999986</v>
      </c>
      <c r="T20" s="60">
        <f t="shared" si="11"/>
        <v>70.43399999999998</v>
      </c>
      <c r="U20" s="101">
        <f t="shared" si="12"/>
        <v>596.0994764397906</v>
      </c>
      <c r="V20" s="102">
        <f t="shared" si="13"/>
        <v>8199.20436963351</v>
      </c>
      <c r="W20" s="102">
        <f t="shared" si="14"/>
        <v>2837.0999999999995</v>
      </c>
      <c r="X20" s="102">
        <f t="shared" si="1"/>
        <v>136400.88</v>
      </c>
      <c r="Y20" s="103">
        <f t="shared" si="15"/>
        <v>158762.1392</v>
      </c>
      <c r="AA20" t="s">
        <v>66</v>
      </c>
      <c r="AB20" s="52">
        <f>1.3+0.29/((VLOOKUP($AB$10,$AA$36:$AI$44,9,0))/VLOOKUP($AB$10,$AA$36:$AI$44,8,0))</f>
        <v>1.3091099476439791</v>
      </c>
      <c r="AC20" t="s">
        <v>79</v>
      </c>
      <c r="AD20" s="52">
        <f>1.3+0.29/((VLOOKUP($AB$12,$AA$27:$AH$33,7,0))/VLOOKUP($AB$12,$AA$27:$AH$33,8,0))</f>
        <v>1.3000064444444446</v>
      </c>
      <c r="AG20" s="21" t="s">
        <v>146</v>
      </c>
      <c r="AH20" s="126">
        <v>0.24</v>
      </c>
      <c r="AI20" s="74"/>
    </row>
    <row r="21" spans="2:43" ht="12.75">
      <c r="B21" s="122">
        <f t="shared" si="16"/>
        <v>39224.975361111115</v>
      </c>
      <c r="C21">
        <v>5</v>
      </c>
      <c r="D21" s="2">
        <v>0.012</v>
      </c>
      <c r="E21">
        <v>0.6</v>
      </c>
      <c r="F21">
        <f t="shared" si="17"/>
        <v>6.299999999999999</v>
      </c>
      <c r="G21" s="1">
        <f t="shared" si="2"/>
        <v>279.84000000000003</v>
      </c>
      <c r="H21" s="1">
        <f t="shared" si="18"/>
        <v>38.01600000000002</v>
      </c>
      <c r="I21" s="72">
        <v>10</v>
      </c>
      <c r="J21" s="64">
        <f t="shared" si="3"/>
        <v>10.000000000000002</v>
      </c>
      <c r="K21" s="117">
        <f t="shared" si="4"/>
        <v>0.002499999999999999</v>
      </c>
      <c r="L21" s="1">
        <f t="shared" si="5"/>
        <v>290919.9578460733</v>
      </c>
      <c r="M21" s="1">
        <f t="shared" si="6"/>
        <v>9445.453176820563</v>
      </c>
      <c r="N21" s="1">
        <f t="shared" si="0"/>
        <v>21000</v>
      </c>
      <c r="O21" s="74">
        <f t="shared" si="7"/>
        <v>0.449783484610503</v>
      </c>
      <c r="P21" s="84">
        <f t="shared" si="8"/>
        <v>4</v>
      </c>
      <c r="Q21" s="1">
        <f t="shared" si="9"/>
        <v>35.21699999999999</v>
      </c>
      <c r="R21" s="1">
        <f t="shared" si="19"/>
        <v>231.16047499999996</v>
      </c>
      <c r="S21" s="1">
        <f t="shared" si="10"/>
        <v>58.694999999999986</v>
      </c>
      <c r="T21" s="60">
        <f t="shared" si="11"/>
        <v>70.43399999999998</v>
      </c>
      <c r="U21" s="101">
        <f t="shared" si="12"/>
        <v>596.0994764397906</v>
      </c>
      <c r="V21" s="102">
        <f t="shared" si="13"/>
        <v>8199.20436963351</v>
      </c>
      <c r="W21" s="102">
        <f t="shared" si="14"/>
        <v>2837.0999999999995</v>
      </c>
      <c r="X21" s="102">
        <f t="shared" si="1"/>
        <v>136400.88</v>
      </c>
      <c r="Y21" s="103">
        <f t="shared" si="15"/>
        <v>142886.674</v>
      </c>
      <c r="AA21" t="s">
        <v>67</v>
      </c>
      <c r="AB21" s="52">
        <f>(VLOOKUP($AB$10,$AA$36:$AI$44,6,0)*AB7)</f>
        <v>0.0006599999999999999</v>
      </c>
      <c r="AC21" t="s">
        <v>79</v>
      </c>
      <c r="AD21" s="52">
        <f>(VLOOKUP($AB$12,$AA$27:$AH$33,3,0)*$AB$9)</f>
        <v>0.6749999999999999</v>
      </c>
      <c r="AG21" s="21" t="s">
        <v>147</v>
      </c>
      <c r="AH21" s="126">
        <v>0.25</v>
      </c>
      <c r="AI21" s="74"/>
      <c r="AJ21" s="72"/>
      <c r="AK21" s="72"/>
      <c r="AL21" s="72"/>
      <c r="AM21" s="72"/>
      <c r="AN21" s="72"/>
      <c r="AO21" s="72"/>
      <c r="AP21" s="72"/>
      <c r="AQ21" s="72"/>
    </row>
    <row r="22" spans="2:43" ht="12.75">
      <c r="B22" s="122">
        <f t="shared" si="16"/>
        <v>39224.97702777778</v>
      </c>
      <c r="C22">
        <v>0</v>
      </c>
      <c r="D22" s="2">
        <v>0.012</v>
      </c>
      <c r="E22">
        <v>0.6</v>
      </c>
      <c r="F22">
        <f t="shared" si="17"/>
        <v>6.899999999999999</v>
      </c>
      <c r="G22" s="1">
        <f t="shared" si="2"/>
        <v>317.85600000000005</v>
      </c>
      <c r="H22" s="1">
        <f t="shared" si="18"/>
        <v>38.01600000000002</v>
      </c>
      <c r="I22">
        <v>15</v>
      </c>
      <c r="J22" s="64">
        <f t="shared" si="3"/>
        <v>15</v>
      </c>
      <c r="K22" s="117">
        <f t="shared" si="4"/>
        <v>0.0016666666666666668</v>
      </c>
      <c r="L22" s="1">
        <f t="shared" si="5"/>
        <v>229576.95819162304</v>
      </c>
      <c r="M22" s="1">
        <f t="shared" si="6"/>
        <v>11180.696015825797</v>
      </c>
      <c r="N22" s="1">
        <f t="shared" si="0"/>
        <v>21000</v>
      </c>
      <c r="O22" s="74">
        <f t="shared" si="7"/>
        <v>0.5324140959917046</v>
      </c>
      <c r="P22" s="84">
        <f t="shared" si="8"/>
        <v>4</v>
      </c>
      <c r="Q22" s="1">
        <f t="shared" si="9"/>
        <v>23.478</v>
      </c>
      <c r="R22" s="1">
        <f t="shared" si="19"/>
        <v>254.63847499999997</v>
      </c>
      <c r="S22" s="1">
        <f t="shared" si="10"/>
        <v>39.13</v>
      </c>
      <c r="T22" s="60">
        <f t="shared" si="11"/>
        <v>46.956</v>
      </c>
      <c r="U22" s="101">
        <f t="shared" si="12"/>
        <v>1341.223821989529</v>
      </c>
      <c r="V22" s="102">
        <f t="shared" si="13"/>
        <v>8199.20436963351</v>
      </c>
      <c r="W22" s="102">
        <f t="shared" si="14"/>
        <v>4255.65</v>
      </c>
      <c r="X22" s="102">
        <f t="shared" si="1"/>
        <v>136400.88</v>
      </c>
      <c r="Y22" s="103">
        <f t="shared" si="15"/>
        <v>79380</v>
      </c>
      <c r="AA22" t="s">
        <v>29</v>
      </c>
      <c r="AB22" s="3">
        <f>20*$AB$7*(VLOOKUP($AB$10,$AA$36:$AI$44,9,0))</f>
        <v>84.03999999999999</v>
      </c>
      <c r="AD22" s="3">
        <f>20*$AB$7*(VLOOKUP($AB$12,$AA$26:$AH$33,7,0)/2000)</f>
        <v>39.599999999999994</v>
      </c>
      <c r="AG22" s="21" t="s">
        <v>148</v>
      </c>
      <c r="AH22" s="126">
        <v>0.28</v>
      </c>
      <c r="AI22" s="74"/>
      <c r="AJ22" s="72"/>
      <c r="AK22" s="72"/>
      <c r="AL22" s="72"/>
      <c r="AM22" s="72"/>
      <c r="AN22" s="72"/>
      <c r="AO22" s="72"/>
      <c r="AP22" s="72"/>
      <c r="AQ22" s="72"/>
    </row>
    <row r="23" spans="2:43" ht="12.75">
      <c r="B23" s="122">
        <f t="shared" si="16"/>
        <v>39224.97752777778</v>
      </c>
      <c r="C23">
        <v>0</v>
      </c>
      <c r="D23" s="2">
        <v>0.012</v>
      </c>
      <c r="E23">
        <v>0.3</v>
      </c>
      <c r="F23">
        <f t="shared" si="17"/>
        <v>7.199999999999998</v>
      </c>
      <c r="G23" s="1">
        <f t="shared" si="2"/>
        <v>336.86400000000003</v>
      </c>
      <c r="H23" s="1">
        <f t="shared" si="18"/>
        <v>19.00799999999998</v>
      </c>
      <c r="I23">
        <v>25</v>
      </c>
      <c r="J23" s="64">
        <f t="shared" si="3"/>
        <v>25</v>
      </c>
      <c r="K23" s="117">
        <f t="shared" si="4"/>
        <v>0.0005</v>
      </c>
      <c r="L23" s="1">
        <f t="shared" si="5"/>
        <v>155418.4560973822</v>
      </c>
      <c r="M23" s="1">
        <f t="shared" si="6"/>
        <v>12615.134423488817</v>
      </c>
      <c r="N23" s="1">
        <f t="shared" si="0"/>
        <v>21000</v>
      </c>
      <c r="O23" s="74">
        <f t="shared" si="7"/>
        <v>0.6007206868328008</v>
      </c>
      <c r="P23" s="84">
        <f t="shared" si="8"/>
        <v>5</v>
      </c>
      <c r="Q23" s="1">
        <f t="shared" si="9"/>
        <v>8.80425</v>
      </c>
      <c r="R23" s="1">
        <f t="shared" si="19"/>
        <v>263.442725</v>
      </c>
      <c r="S23" s="1">
        <f t="shared" si="10"/>
        <v>29.3475</v>
      </c>
      <c r="T23" s="60">
        <f t="shared" si="11"/>
        <v>17.6085</v>
      </c>
      <c r="U23" s="101">
        <f t="shared" si="12"/>
        <v>3725.6217277486912</v>
      </c>
      <c r="V23" s="102">
        <f t="shared" si="13"/>
        <v>8199.20436963351</v>
      </c>
      <c r="W23" s="102">
        <f t="shared" si="14"/>
        <v>7092.75</v>
      </c>
      <c r="X23" s="102">
        <f t="shared" si="1"/>
        <v>136400.88</v>
      </c>
      <c r="Y23" s="103">
        <f t="shared" si="15"/>
        <v>0</v>
      </c>
      <c r="AA23" t="s">
        <v>56</v>
      </c>
      <c r="AB23" s="26">
        <f>0.8*$AB$6*(VLOOKUP($AB$10,$AA$36:$AI$44,9,0))/2000</f>
        <v>0</v>
      </c>
      <c r="AD23" s="26">
        <f>0.8*$AB$6*((VLOOKUP($AB$12,$AA$27:$AH$33,7,0))/2000/2000)</f>
        <v>0</v>
      </c>
      <c r="AG23" s="21" t="s">
        <v>149</v>
      </c>
      <c r="AH23" s="126">
        <v>0.33</v>
      </c>
      <c r="AI23" s="74"/>
      <c r="AJ23" s="72"/>
      <c r="AK23" s="72"/>
      <c r="AL23" s="72"/>
      <c r="AM23" s="72"/>
      <c r="AN23" s="72"/>
      <c r="AO23" s="72"/>
      <c r="AP23" s="72"/>
      <c r="AQ23" s="72"/>
    </row>
    <row r="24" spans="2:43" ht="12.75">
      <c r="B24" s="122">
        <f t="shared" si="16"/>
        <v>39224.97802777778</v>
      </c>
      <c r="C24">
        <v>5</v>
      </c>
      <c r="D24" s="2">
        <v>0.012</v>
      </c>
      <c r="E24">
        <v>0.3</v>
      </c>
      <c r="F24">
        <f t="shared" si="17"/>
        <v>7.499999999999998</v>
      </c>
      <c r="G24" s="1">
        <f t="shared" si="2"/>
        <v>355.872</v>
      </c>
      <c r="H24" s="1">
        <f t="shared" si="18"/>
        <v>19.00799999999998</v>
      </c>
      <c r="I24">
        <v>25</v>
      </c>
      <c r="J24" s="64">
        <f t="shared" si="3"/>
        <v>25.000000000000004</v>
      </c>
      <c r="K24" s="117">
        <f t="shared" si="4"/>
        <v>0.0004999999999999999</v>
      </c>
      <c r="L24" s="1">
        <f t="shared" si="5"/>
        <v>234801.1300973822</v>
      </c>
      <c r="M24" s="1">
        <f t="shared" si="6"/>
        <v>19058.53328712518</v>
      </c>
      <c r="N24" s="1">
        <f t="shared" si="0"/>
        <v>21000</v>
      </c>
      <c r="O24" s="74">
        <f t="shared" si="7"/>
        <v>0.9075492041488181</v>
      </c>
      <c r="P24" s="84">
        <f t="shared" si="8"/>
        <v>8</v>
      </c>
      <c r="Q24" s="1">
        <f>IF($AB$11*E24/J24*VLOOKUP($AB$10,$AA$35:$AQ$44,MATCH(P24,$AA$34:$AQ$34,),0)&gt;0,$AB$11*E24/J24*VLOOKUP($AB$10,$AA$35:$AQ$44,MATCH(P24,$AA$34:$AQ$34,),0),0)</f>
        <v>14.086799999999998</v>
      </c>
      <c r="R24" s="1">
        <f t="shared" si="19"/>
        <v>277.529525</v>
      </c>
      <c r="S24" s="1">
        <f t="shared" si="10"/>
        <v>46.955999999999996</v>
      </c>
      <c r="T24" s="60">
        <f t="shared" si="11"/>
        <v>28.173599999999997</v>
      </c>
      <c r="U24" s="101">
        <f t="shared" si="12"/>
        <v>3725.6217277486912</v>
      </c>
      <c r="V24" s="102">
        <f t="shared" si="13"/>
        <v>8199.20436963351</v>
      </c>
      <c r="W24" s="102">
        <f t="shared" si="14"/>
        <v>7092.75</v>
      </c>
      <c r="X24" s="102">
        <f t="shared" si="1"/>
        <v>136400.88</v>
      </c>
      <c r="Y24" s="103">
        <f t="shared" si="15"/>
        <v>79382.674</v>
      </c>
      <c r="AF24" s="217"/>
      <c r="AG24" s="217"/>
      <c r="AJ24" s="72"/>
      <c r="AK24" s="72"/>
      <c r="AL24" s="72"/>
      <c r="AM24" s="72"/>
      <c r="AN24" s="72"/>
      <c r="AO24" s="72"/>
      <c r="AP24" s="72"/>
      <c r="AQ24" s="72"/>
    </row>
    <row r="25" spans="2:43" ht="12.75">
      <c r="B25" s="122">
        <f t="shared" si="16"/>
        <v>39224.97996813688</v>
      </c>
      <c r="C25">
        <v>10</v>
      </c>
      <c r="D25" s="2">
        <v>0.022</v>
      </c>
      <c r="E25">
        <v>0.6</v>
      </c>
      <c r="F25">
        <f t="shared" si="17"/>
        <v>8.099999999999998</v>
      </c>
      <c r="G25" s="1">
        <f t="shared" si="2"/>
        <v>425.568</v>
      </c>
      <c r="H25" s="1">
        <f t="shared" si="18"/>
        <v>69.69599999999997</v>
      </c>
      <c r="I25">
        <v>15</v>
      </c>
      <c r="J25" s="64">
        <f t="shared" si="3"/>
        <v>12.884213034580428</v>
      </c>
      <c r="K25" s="117">
        <f t="shared" si="4"/>
        <v>0.0019403590993801135</v>
      </c>
      <c r="L25" s="1">
        <f t="shared" si="5"/>
        <v>502009.706191623</v>
      </c>
      <c r="M25" s="1">
        <f t="shared" si="6"/>
        <v>24448.524652189433</v>
      </c>
      <c r="N25" s="1">
        <f t="shared" si="0"/>
        <v>21000</v>
      </c>
      <c r="O25" s="74">
        <f t="shared" si="7"/>
        <v>1.1642154596280683</v>
      </c>
      <c r="P25" s="84">
        <f t="shared" si="8"/>
        <v>8</v>
      </c>
      <c r="Q25" s="1">
        <f t="shared" si="9"/>
        <v>54.66690112229556</v>
      </c>
      <c r="R25" s="1">
        <f t="shared" si="19"/>
        <v>332.1964261222955</v>
      </c>
      <c r="S25" s="1">
        <f t="shared" si="10"/>
        <v>91.1115018704926</v>
      </c>
      <c r="T25" s="60">
        <f t="shared" si="11"/>
        <v>109.33380224459113</v>
      </c>
      <c r="U25" s="101">
        <f t="shared" si="12"/>
        <v>1341.223821989529</v>
      </c>
      <c r="V25" s="102">
        <f t="shared" si="13"/>
        <v>8199.20436963351</v>
      </c>
      <c r="W25" s="102">
        <f t="shared" si="14"/>
        <v>4255.65</v>
      </c>
      <c r="X25" s="102">
        <f t="shared" si="1"/>
        <v>250068.27999999997</v>
      </c>
      <c r="Y25" s="103">
        <f t="shared" si="15"/>
        <v>238145.348</v>
      </c>
      <c r="AA25" s="3" t="s">
        <v>57</v>
      </c>
      <c r="AB25" s="3"/>
      <c r="AC25" s="3" t="s">
        <v>62</v>
      </c>
      <c r="AD25" s="3" t="s">
        <v>63</v>
      </c>
      <c r="AE25" s="33" t="s">
        <v>52</v>
      </c>
      <c r="AF25" s="34" t="s">
        <v>58</v>
      </c>
      <c r="AG25" s="35" t="s">
        <v>59</v>
      </c>
      <c r="AH25" s="3" t="s">
        <v>13</v>
      </c>
      <c r="AI25" s="3" t="s">
        <v>131</v>
      </c>
      <c r="AJ25" s="72"/>
      <c r="AK25" s="72"/>
      <c r="AL25" s="72"/>
      <c r="AM25" s="72"/>
      <c r="AN25" s="72"/>
      <c r="AO25" s="72"/>
      <c r="AP25" s="72"/>
      <c r="AQ25" s="72"/>
    </row>
    <row r="26" spans="2:43" ht="12.75">
      <c r="B26" s="122">
        <f t="shared" si="16"/>
        <v>39224.98079498803</v>
      </c>
      <c r="C26">
        <v>0</v>
      </c>
      <c r="D26" s="2">
        <v>0.022</v>
      </c>
      <c r="E26">
        <v>0.3</v>
      </c>
      <c r="F26">
        <f t="shared" si="17"/>
        <v>8.399999999999999</v>
      </c>
      <c r="G26" s="1">
        <f t="shared" si="2"/>
        <v>460.416</v>
      </c>
      <c r="H26" s="1">
        <f t="shared" si="18"/>
        <v>34.84800000000001</v>
      </c>
      <c r="I26">
        <v>25</v>
      </c>
      <c r="J26" s="64">
        <f t="shared" si="3"/>
        <v>15.117594123729964</v>
      </c>
      <c r="K26" s="117">
        <f t="shared" si="4"/>
        <v>0.0008268511442822011</v>
      </c>
      <c r="L26" s="1">
        <f t="shared" si="5"/>
        <v>427845.85609738214</v>
      </c>
      <c r="M26" s="1">
        <f t="shared" si="6"/>
        <v>34727.74805985245</v>
      </c>
      <c r="N26" s="1">
        <f t="shared" si="0"/>
        <v>21000</v>
      </c>
      <c r="O26" s="74">
        <f t="shared" si="7"/>
        <v>1.6537022885644024</v>
      </c>
      <c r="P26" s="84">
        <f t="shared" si="8"/>
        <v>8</v>
      </c>
      <c r="Q26" s="1">
        <f t="shared" si="9"/>
        <v>23.295373398549025</v>
      </c>
      <c r="R26" s="1">
        <f t="shared" si="19"/>
        <v>355.49179952084455</v>
      </c>
      <c r="S26" s="1">
        <f t="shared" si="10"/>
        <v>77.65124466183009</v>
      </c>
      <c r="T26" s="60">
        <f t="shared" si="11"/>
        <v>46.59074679709805</v>
      </c>
      <c r="U26" s="101">
        <f t="shared" si="12"/>
        <v>3725.6217277486912</v>
      </c>
      <c r="V26" s="102">
        <f t="shared" si="13"/>
        <v>8199.20436963351</v>
      </c>
      <c r="W26" s="102">
        <f t="shared" si="14"/>
        <v>7092.75</v>
      </c>
      <c r="X26" s="102">
        <f t="shared" si="1"/>
        <v>250068.27999999997</v>
      </c>
      <c r="Y26" s="103">
        <f t="shared" si="15"/>
        <v>158760</v>
      </c>
      <c r="AA26" s="205" t="s">
        <v>36</v>
      </c>
      <c r="AB26" s="200"/>
      <c r="AC26" s="4">
        <v>0.045</v>
      </c>
      <c r="AD26" s="4">
        <v>0.0005</v>
      </c>
      <c r="AE26" s="4">
        <v>100</v>
      </c>
      <c r="AF26" s="36">
        <v>45000</v>
      </c>
      <c r="AG26" s="36">
        <v>180000</v>
      </c>
      <c r="AH26" s="4">
        <v>4</v>
      </c>
      <c r="AI26" s="4">
        <v>40</v>
      </c>
      <c r="AJ26" s="72"/>
      <c r="AK26" s="72"/>
      <c r="AL26" s="72"/>
      <c r="AM26" s="72"/>
      <c r="AN26" s="72"/>
      <c r="AO26" s="72"/>
      <c r="AP26" s="72"/>
      <c r="AQ26" s="72"/>
    </row>
    <row r="27" spans="2:43" ht="12.75">
      <c r="B27" s="122">
        <f t="shared" si="16"/>
        <v>39224.98207081432</v>
      </c>
      <c r="C27">
        <v>8</v>
      </c>
      <c r="D27" s="2">
        <v>0.022</v>
      </c>
      <c r="E27">
        <v>0.5</v>
      </c>
      <c r="F27">
        <f t="shared" si="17"/>
        <v>8.899999999999999</v>
      </c>
      <c r="G27" s="1">
        <f t="shared" si="2"/>
        <v>518.496</v>
      </c>
      <c r="H27" s="1">
        <f t="shared" si="18"/>
        <v>58.079999999999984</v>
      </c>
      <c r="I27">
        <v>25</v>
      </c>
      <c r="J27" s="64">
        <f t="shared" si="3"/>
        <v>16.329286701153972</v>
      </c>
      <c r="K27" s="117">
        <f t="shared" si="4"/>
        <v>0.0012758262938613887</v>
      </c>
      <c r="L27" s="1">
        <f t="shared" si="5"/>
        <v>396098.13449738215</v>
      </c>
      <c r="M27" s="1">
        <f t="shared" si="6"/>
        <v>32150.82260530699</v>
      </c>
      <c r="N27" s="1">
        <f t="shared" si="0"/>
        <v>21000</v>
      </c>
      <c r="O27" s="74">
        <f t="shared" si="7"/>
        <v>1.5309915526336662</v>
      </c>
      <c r="P27" s="84">
        <f t="shared" si="8"/>
        <v>8</v>
      </c>
      <c r="Q27" s="1">
        <f t="shared" si="9"/>
        <v>35.94461967273322</v>
      </c>
      <c r="R27" s="1">
        <f t="shared" si="19"/>
        <v>391.43641919357776</v>
      </c>
      <c r="S27" s="1">
        <f t="shared" si="10"/>
        <v>71.88923934546644</v>
      </c>
      <c r="T27" s="60">
        <f t="shared" si="11"/>
        <v>71.88923934546644</v>
      </c>
      <c r="U27" s="101">
        <f t="shared" si="12"/>
        <v>3725.6217277486912</v>
      </c>
      <c r="V27" s="102">
        <f t="shared" si="13"/>
        <v>8199.20436963351</v>
      </c>
      <c r="W27" s="102">
        <f t="shared" si="14"/>
        <v>7092.75</v>
      </c>
      <c r="X27" s="102">
        <f t="shared" si="1"/>
        <v>250068.27999999997</v>
      </c>
      <c r="Y27" s="103">
        <f t="shared" si="15"/>
        <v>127012.2784</v>
      </c>
      <c r="AA27" s="205" t="s">
        <v>38</v>
      </c>
      <c r="AB27" s="200"/>
      <c r="AC27" s="4">
        <v>0.045</v>
      </c>
      <c r="AD27" s="4">
        <v>0.0005</v>
      </c>
      <c r="AE27" s="4">
        <v>140</v>
      </c>
      <c r="AF27" s="36">
        <v>67000</v>
      </c>
      <c r="AG27" s="36">
        <v>268000</v>
      </c>
      <c r="AH27" s="4">
        <v>4</v>
      </c>
      <c r="AI27" s="4">
        <v>45</v>
      </c>
      <c r="AJ27" s="72"/>
      <c r="AK27" s="72"/>
      <c r="AL27" s="72"/>
      <c r="AM27" s="72"/>
      <c r="AN27" s="72"/>
      <c r="AO27" s="72"/>
      <c r="AP27" s="72"/>
      <c r="AQ27" s="72"/>
    </row>
    <row r="28" spans="2:43" ht="12.75">
      <c r="B28" s="122">
        <f t="shared" si="16"/>
        <v>39224.982570814325</v>
      </c>
      <c r="C28">
        <v>0</v>
      </c>
      <c r="D28" s="2">
        <v>-0.012</v>
      </c>
      <c r="E28">
        <v>0.3</v>
      </c>
      <c r="F28">
        <f t="shared" si="17"/>
        <v>9.2</v>
      </c>
      <c r="G28" s="1">
        <f t="shared" si="2"/>
        <v>499.488</v>
      </c>
      <c r="H28" s="1">
        <f t="shared" si="18"/>
        <v>0</v>
      </c>
      <c r="I28">
        <v>25</v>
      </c>
      <c r="J28" s="64">
        <f t="shared" si="3"/>
        <v>25</v>
      </c>
      <c r="K28" s="117">
        <f t="shared" si="4"/>
        <v>0.0005</v>
      </c>
      <c r="L28" s="1">
        <f t="shared" si="5"/>
        <v>9624.696097382199</v>
      </c>
      <c r="M28" s="1">
        <f t="shared" si="6"/>
        <v>781.225332579724</v>
      </c>
      <c r="N28" s="1">
        <f t="shared" si="0"/>
        <v>21000</v>
      </c>
      <c r="O28" s="74">
        <f t="shared" si="7"/>
        <v>0.03720120631332019</v>
      </c>
      <c r="P28" s="84">
        <f t="shared" si="8"/>
        <v>1</v>
      </c>
      <c r="Q28" s="1">
        <f t="shared" si="9"/>
        <v>1.76085</v>
      </c>
      <c r="R28" s="1">
        <f t="shared" si="19"/>
        <v>393.19726919357777</v>
      </c>
      <c r="S28" s="1">
        <f t="shared" si="10"/>
        <v>5.8695</v>
      </c>
      <c r="T28" s="60">
        <f t="shared" si="11"/>
        <v>3.5217</v>
      </c>
      <c r="U28" s="101">
        <f t="shared" si="12"/>
        <v>3725.6217277486912</v>
      </c>
      <c r="V28" s="102">
        <f t="shared" si="13"/>
        <v>8199.20436963351</v>
      </c>
      <c r="W28" s="102">
        <f t="shared" si="14"/>
        <v>7092.75</v>
      </c>
      <c r="X28" s="102">
        <f t="shared" si="1"/>
        <v>-136400.88</v>
      </c>
      <c r="Y28" s="103">
        <f t="shared" si="15"/>
        <v>127008</v>
      </c>
      <c r="AA28" s="205" t="s">
        <v>60</v>
      </c>
      <c r="AB28" s="200"/>
      <c r="AC28" s="4">
        <v>0.045</v>
      </c>
      <c r="AD28" s="4">
        <v>0.0005</v>
      </c>
      <c r="AE28" s="4">
        <v>140</v>
      </c>
      <c r="AF28" s="36">
        <v>71000</v>
      </c>
      <c r="AG28" s="36">
        <v>286000</v>
      </c>
      <c r="AH28" s="4">
        <v>4</v>
      </c>
      <c r="AI28" s="4">
        <v>48</v>
      </c>
      <c r="AJ28" s="72"/>
      <c r="AK28" s="72"/>
      <c r="AL28" s="72"/>
      <c r="AM28" s="72"/>
      <c r="AN28" s="72"/>
      <c r="AO28" s="72"/>
      <c r="AP28" s="72"/>
      <c r="AQ28" s="72"/>
    </row>
    <row r="29" spans="2:43" ht="12.75">
      <c r="B29" s="122">
        <f t="shared" si="16"/>
        <v>39224.983737480994</v>
      </c>
      <c r="C29">
        <v>10</v>
      </c>
      <c r="D29" s="2">
        <v>-0.012</v>
      </c>
      <c r="E29">
        <v>0.7</v>
      </c>
      <c r="F29">
        <f t="shared" si="17"/>
        <v>9.899999999999999</v>
      </c>
      <c r="G29" s="1">
        <f t="shared" si="2"/>
        <v>455.136</v>
      </c>
      <c r="H29" s="1">
        <f t="shared" si="18"/>
        <v>0</v>
      </c>
      <c r="I29">
        <v>25</v>
      </c>
      <c r="J29" s="64">
        <f t="shared" si="3"/>
        <v>25</v>
      </c>
      <c r="K29" s="117">
        <f t="shared" si="4"/>
        <v>0.0011666666666666665</v>
      </c>
      <c r="L29" s="1">
        <f t="shared" si="5"/>
        <v>41382.0440973822</v>
      </c>
      <c r="M29" s="1">
        <f t="shared" si="6"/>
        <v>3358.932150761542</v>
      </c>
      <c r="N29" s="1">
        <f t="shared" si="0"/>
        <v>21000</v>
      </c>
      <c r="O29" s="74">
        <f t="shared" si="7"/>
        <v>0.1599491500362639</v>
      </c>
      <c r="P29" s="84">
        <f t="shared" si="8"/>
        <v>2</v>
      </c>
      <c r="Q29" s="1">
        <f t="shared" si="9"/>
        <v>8.217299999999998</v>
      </c>
      <c r="R29" s="1">
        <f t="shared" si="19"/>
        <v>401.4145691935778</v>
      </c>
      <c r="S29" s="1">
        <f t="shared" si="10"/>
        <v>11.738999999999997</v>
      </c>
      <c r="T29" s="60">
        <f t="shared" si="11"/>
        <v>16.434599999999996</v>
      </c>
      <c r="U29" s="101">
        <f t="shared" si="12"/>
        <v>3725.6217277486912</v>
      </c>
      <c r="V29" s="102">
        <f t="shared" si="13"/>
        <v>8199.20436963351</v>
      </c>
      <c r="W29" s="102">
        <f t="shared" si="14"/>
        <v>7092.75</v>
      </c>
      <c r="X29" s="102">
        <f t="shared" si="1"/>
        <v>-136400.88</v>
      </c>
      <c r="Y29" s="103">
        <f t="shared" si="15"/>
        <v>158765.348</v>
      </c>
      <c r="AA29" s="205" t="s">
        <v>37</v>
      </c>
      <c r="AB29" s="200"/>
      <c r="AC29" s="4">
        <v>0.045</v>
      </c>
      <c r="AD29" s="4">
        <v>0.0005</v>
      </c>
      <c r="AE29" s="4">
        <v>170</v>
      </c>
      <c r="AF29" s="36">
        <v>50000</v>
      </c>
      <c r="AG29" s="36">
        <v>180000</v>
      </c>
      <c r="AH29" s="4">
        <v>4</v>
      </c>
      <c r="AI29" s="4">
        <v>48</v>
      </c>
      <c r="AJ29" s="72"/>
      <c r="AK29" s="72"/>
      <c r="AL29" s="72"/>
      <c r="AM29" s="72"/>
      <c r="AN29" s="72"/>
      <c r="AO29" s="72"/>
      <c r="AP29" s="72"/>
      <c r="AQ29" s="72"/>
    </row>
    <row r="30" spans="2:43" ht="12.75">
      <c r="B30" s="122">
        <f t="shared" si="16"/>
        <v>39224.984237480996</v>
      </c>
      <c r="C30">
        <v>0</v>
      </c>
      <c r="D30" s="2">
        <v>-0.012</v>
      </c>
      <c r="E30">
        <v>0.3</v>
      </c>
      <c r="F30">
        <f t="shared" si="17"/>
        <v>10.2</v>
      </c>
      <c r="G30" s="1">
        <f t="shared" si="2"/>
        <v>436.12800000000004</v>
      </c>
      <c r="H30" s="1">
        <f t="shared" si="18"/>
        <v>0</v>
      </c>
      <c r="I30">
        <v>25</v>
      </c>
      <c r="J30" s="64">
        <f t="shared" si="3"/>
        <v>25</v>
      </c>
      <c r="K30" s="117">
        <f t="shared" si="4"/>
        <v>0.0005</v>
      </c>
      <c r="L30" s="1">
        <f t="shared" si="5"/>
        <v>41376.6960973822</v>
      </c>
      <c r="M30" s="1">
        <f t="shared" si="6"/>
        <v>3358.498059852451</v>
      </c>
      <c r="N30" s="1">
        <f t="shared" si="0"/>
        <v>21000</v>
      </c>
      <c r="O30" s="74">
        <f t="shared" si="7"/>
        <v>0.1599284790405929</v>
      </c>
      <c r="P30" s="84">
        <f t="shared" si="8"/>
        <v>2</v>
      </c>
      <c r="Q30" s="1">
        <f t="shared" si="9"/>
        <v>3.5217</v>
      </c>
      <c r="R30" s="1">
        <f t="shared" si="19"/>
        <v>404.9362691935778</v>
      </c>
      <c r="S30" s="1">
        <f t="shared" si="10"/>
        <v>11.739</v>
      </c>
      <c r="T30" s="60">
        <f t="shared" si="11"/>
        <v>7.0434</v>
      </c>
      <c r="U30" s="101">
        <f t="shared" si="12"/>
        <v>3725.6217277486912</v>
      </c>
      <c r="V30" s="102">
        <f t="shared" si="13"/>
        <v>8199.20436963351</v>
      </c>
      <c r="W30" s="102">
        <f t="shared" si="14"/>
        <v>7092.75</v>
      </c>
      <c r="X30" s="102">
        <f t="shared" si="1"/>
        <v>-136400.88</v>
      </c>
      <c r="Y30" s="103">
        <f t="shared" si="15"/>
        <v>158760</v>
      </c>
      <c r="AA30" s="3" t="s">
        <v>20</v>
      </c>
      <c r="AB30" s="3"/>
      <c r="AC30" s="4">
        <v>0.045</v>
      </c>
      <c r="AD30" s="4">
        <v>0.0003</v>
      </c>
      <c r="AE30" s="4">
        <v>120</v>
      </c>
      <c r="AF30" s="36">
        <v>50000</v>
      </c>
      <c r="AG30" s="36">
        <v>60000</v>
      </c>
      <c r="AH30" s="4">
        <v>4</v>
      </c>
      <c r="AI30" s="4">
        <v>55</v>
      </c>
      <c r="AJ30" s="72"/>
      <c r="AK30" s="72"/>
      <c r="AL30" s="72"/>
      <c r="AM30" s="72"/>
      <c r="AN30" s="72"/>
      <c r="AO30" s="72"/>
      <c r="AP30" s="72"/>
      <c r="AQ30" s="72"/>
    </row>
    <row r="31" spans="2:43" ht="12.75">
      <c r="B31" s="122">
        <f t="shared" si="16"/>
        <v>39224.984570814326</v>
      </c>
      <c r="C31">
        <v>8</v>
      </c>
      <c r="D31" s="2">
        <v>-0.01</v>
      </c>
      <c r="E31">
        <v>0.2</v>
      </c>
      <c r="F31">
        <f t="shared" si="17"/>
        <v>10.399999999999999</v>
      </c>
      <c r="G31" s="1">
        <f t="shared" si="2"/>
        <v>425.56800000000004</v>
      </c>
      <c r="H31" s="1">
        <f t="shared" si="18"/>
        <v>0</v>
      </c>
      <c r="I31">
        <v>25</v>
      </c>
      <c r="J31" s="64">
        <f t="shared" si="3"/>
        <v>25</v>
      </c>
      <c r="K31" s="117">
        <f t="shared" si="4"/>
        <v>0.0003333333333333333</v>
      </c>
      <c r="L31" s="1">
        <f t="shared" si="5"/>
        <v>32362.454497382205</v>
      </c>
      <c r="M31" s="1">
        <f t="shared" si="6"/>
        <v>2626.822605306997</v>
      </c>
      <c r="N31" s="1">
        <f t="shared" si="0"/>
        <v>21000</v>
      </c>
      <c r="O31" s="74">
        <f t="shared" si="7"/>
        <v>0.12508679072890463</v>
      </c>
      <c r="P31" s="84">
        <f t="shared" si="8"/>
        <v>1</v>
      </c>
      <c r="Q31" s="1">
        <f t="shared" si="9"/>
        <v>1.1739000000000002</v>
      </c>
      <c r="R31" s="1">
        <f t="shared" si="19"/>
        <v>406.1101691935778</v>
      </c>
      <c r="S31" s="1">
        <f t="shared" si="10"/>
        <v>5.8695</v>
      </c>
      <c r="T31" s="60">
        <f t="shared" si="11"/>
        <v>2.3478000000000003</v>
      </c>
      <c r="U31" s="101">
        <f t="shared" si="12"/>
        <v>3725.6217277486912</v>
      </c>
      <c r="V31" s="102">
        <f t="shared" si="13"/>
        <v>8199.20436963351</v>
      </c>
      <c r="W31" s="102">
        <f t="shared" si="14"/>
        <v>7092.75</v>
      </c>
      <c r="X31" s="102">
        <f t="shared" si="1"/>
        <v>-113667.4</v>
      </c>
      <c r="Y31" s="103">
        <f t="shared" si="15"/>
        <v>127012.2784</v>
      </c>
      <c r="AA31" s="206" t="s">
        <v>10</v>
      </c>
      <c r="AB31" s="204"/>
      <c r="AC31" s="4">
        <v>0.045</v>
      </c>
      <c r="AD31" s="4">
        <v>0.0007</v>
      </c>
      <c r="AE31" s="4">
        <v>80</v>
      </c>
      <c r="AF31" s="36">
        <v>35000</v>
      </c>
      <c r="AG31" s="36">
        <v>80000</v>
      </c>
      <c r="AH31" s="4">
        <v>4</v>
      </c>
      <c r="AI31" s="4">
        <v>40</v>
      </c>
      <c r="AJ31" s="72"/>
      <c r="AK31" s="72"/>
      <c r="AL31" s="72"/>
      <c r="AM31" s="72"/>
      <c r="AN31" s="72"/>
      <c r="AO31" s="72"/>
      <c r="AP31" s="72"/>
      <c r="AQ31" s="72"/>
    </row>
    <row r="32" spans="2:43" ht="12.75">
      <c r="B32" s="122">
        <f t="shared" si="16"/>
        <v>39224.985116629214</v>
      </c>
      <c r="C32">
        <v>0</v>
      </c>
      <c r="D32" s="2">
        <v>0.012</v>
      </c>
      <c r="E32">
        <v>0.3</v>
      </c>
      <c r="F32">
        <f t="shared" si="17"/>
        <v>10.7</v>
      </c>
      <c r="G32" s="1">
        <f t="shared" si="2"/>
        <v>444.576</v>
      </c>
      <c r="H32" s="1">
        <f t="shared" si="18"/>
        <v>19.00799999999998</v>
      </c>
      <c r="I32">
        <v>25</v>
      </c>
      <c r="J32" s="64">
        <f t="shared" si="3"/>
        <v>22.901537233359598</v>
      </c>
      <c r="K32" s="117">
        <f t="shared" si="4"/>
        <v>0.000545814888870946</v>
      </c>
      <c r="L32" s="1">
        <f t="shared" si="5"/>
        <v>282426.45609738224</v>
      </c>
      <c r="M32" s="1">
        <f t="shared" si="6"/>
        <v>22924.22533257973</v>
      </c>
      <c r="N32" s="1">
        <f t="shared" si="0"/>
        <v>21000</v>
      </c>
      <c r="O32" s="74">
        <f t="shared" si="7"/>
        <v>1.0916297777418917</v>
      </c>
      <c r="P32" s="84">
        <f t="shared" si="8"/>
        <v>8</v>
      </c>
      <c r="Q32" s="1">
        <f t="shared" si="9"/>
        <v>15.377570353094482</v>
      </c>
      <c r="R32" s="1">
        <f t="shared" si="19"/>
        <v>421.4877395466723</v>
      </c>
      <c r="S32" s="1">
        <f t="shared" si="10"/>
        <v>51.25856784364827</v>
      </c>
      <c r="T32" s="60">
        <f t="shared" si="11"/>
        <v>30.755140706188964</v>
      </c>
      <c r="U32" s="101">
        <f t="shared" si="12"/>
        <v>3725.6217277486912</v>
      </c>
      <c r="V32" s="102">
        <f t="shared" si="13"/>
        <v>8199.20436963351</v>
      </c>
      <c r="W32" s="102">
        <f t="shared" si="14"/>
        <v>7092.75</v>
      </c>
      <c r="X32" s="102">
        <f t="shared" si="1"/>
        <v>136400.88</v>
      </c>
      <c r="Y32" s="103">
        <f t="shared" si="15"/>
        <v>127008</v>
      </c>
      <c r="AA32" s="206" t="s">
        <v>11</v>
      </c>
      <c r="AB32" s="204"/>
      <c r="AC32" s="4">
        <v>0.045</v>
      </c>
      <c r="AD32" s="4">
        <v>0.0011</v>
      </c>
      <c r="AE32" s="4">
        <v>90</v>
      </c>
      <c r="AF32" s="36">
        <v>35000</v>
      </c>
      <c r="AG32" s="36">
        <v>70000</v>
      </c>
      <c r="AH32" s="4">
        <v>4</v>
      </c>
      <c r="AI32" s="4">
        <v>40</v>
      </c>
      <c r="AJ32" s="72"/>
      <c r="AK32" s="72"/>
      <c r="AL32" s="72"/>
      <c r="AM32" s="72"/>
      <c r="AN32" s="72"/>
      <c r="AO32" s="72"/>
      <c r="AP32" s="72"/>
      <c r="AQ32" s="72"/>
    </row>
    <row r="33" spans="2:44" ht="12.75">
      <c r="B33" s="122">
        <f t="shared" si="16"/>
        <v>39224.985949962545</v>
      </c>
      <c r="C33">
        <v>3</v>
      </c>
      <c r="D33" s="2">
        <v>0.012</v>
      </c>
      <c r="E33">
        <v>0.5</v>
      </c>
      <c r="F33">
        <f t="shared" si="17"/>
        <v>11.2</v>
      </c>
      <c r="G33" s="1">
        <f t="shared" si="2"/>
        <v>476.25600000000003</v>
      </c>
      <c r="H33" s="1">
        <f t="shared" si="18"/>
        <v>31.680000000000007</v>
      </c>
      <c r="I33">
        <v>25</v>
      </c>
      <c r="J33" s="64">
        <f t="shared" si="3"/>
        <v>25.000000000000004</v>
      </c>
      <c r="K33" s="117">
        <f t="shared" si="4"/>
        <v>0.0008333333333333332</v>
      </c>
      <c r="L33" s="1">
        <f t="shared" si="5"/>
        <v>203048.0604973822</v>
      </c>
      <c r="M33" s="1">
        <f t="shared" si="6"/>
        <v>16481.173741670635</v>
      </c>
      <c r="N33" s="1">
        <f t="shared" si="0"/>
        <v>21000</v>
      </c>
      <c r="O33" s="74">
        <f aca="true" t="shared" si="20" ref="O33:O73">M33/N33</f>
        <v>0.7848177972224112</v>
      </c>
      <c r="P33" s="84">
        <f t="shared" si="8"/>
        <v>6</v>
      </c>
      <c r="Q33" s="1">
        <f t="shared" si="9"/>
        <v>17.608499999999996</v>
      </c>
      <c r="R33" s="1">
        <f t="shared" si="19"/>
        <v>439.0962395466723</v>
      </c>
      <c r="S33" s="1">
        <f t="shared" si="10"/>
        <v>35.21699999999999</v>
      </c>
      <c r="T33" s="60">
        <f t="shared" si="11"/>
        <v>35.21699999999999</v>
      </c>
      <c r="U33" s="101">
        <f t="shared" si="12"/>
        <v>3725.6217277486912</v>
      </c>
      <c r="V33" s="102">
        <f t="shared" si="13"/>
        <v>8199.20436963351</v>
      </c>
      <c r="W33" s="102">
        <f t="shared" si="14"/>
        <v>7092.75</v>
      </c>
      <c r="X33" s="102">
        <f t="shared" si="1"/>
        <v>136400.88</v>
      </c>
      <c r="Y33" s="103">
        <f t="shared" si="15"/>
        <v>47629.6044</v>
      </c>
      <c r="AF33" s="1"/>
      <c r="AG33" s="1"/>
      <c r="AJ33" s="72" t="s">
        <v>119</v>
      </c>
      <c r="AK33" s="72" t="s">
        <v>119</v>
      </c>
      <c r="AL33" s="72" t="s">
        <v>119</v>
      </c>
      <c r="AM33" s="72" t="s">
        <v>119</v>
      </c>
      <c r="AN33" s="72" t="s">
        <v>119</v>
      </c>
      <c r="AO33" s="72" t="s">
        <v>119</v>
      </c>
      <c r="AP33" s="72" t="s">
        <v>119</v>
      </c>
      <c r="AQ33" s="72" t="s">
        <v>119</v>
      </c>
      <c r="AR33" s="72" t="s">
        <v>150</v>
      </c>
    </row>
    <row r="34" spans="2:43" ht="12.75">
      <c r="B34" s="122">
        <f t="shared" si="16"/>
        <v>39224.98644996255</v>
      </c>
      <c r="C34">
        <v>0</v>
      </c>
      <c r="D34" s="2">
        <v>0.012</v>
      </c>
      <c r="E34">
        <v>0.3</v>
      </c>
      <c r="F34">
        <f t="shared" si="17"/>
        <v>11.5</v>
      </c>
      <c r="G34" s="1">
        <f t="shared" si="2"/>
        <v>495.264</v>
      </c>
      <c r="H34" s="1">
        <f t="shared" si="18"/>
        <v>19.00799999999998</v>
      </c>
      <c r="I34">
        <v>25</v>
      </c>
      <c r="J34" s="64">
        <f t="shared" si="3"/>
        <v>24.999999999999996</v>
      </c>
      <c r="K34" s="117">
        <f t="shared" si="4"/>
        <v>0.0005000000000000001</v>
      </c>
      <c r="L34" s="1">
        <f t="shared" si="5"/>
        <v>203046.4560973822</v>
      </c>
      <c r="M34" s="1">
        <f t="shared" si="6"/>
        <v>16481.043514397905</v>
      </c>
      <c r="N34" s="1">
        <f t="shared" si="0"/>
        <v>21000</v>
      </c>
      <c r="O34" s="74">
        <f>M34/N34</f>
        <v>0.7848115959237097</v>
      </c>
      <c r="P34" s="84">
        <f t="shared" si="8"/>
        <v>6</v>
      </c>
      <c r="Q34" s="1">
        <f t="shared" si="9"/>
        <v>10.565100000000001</v>
      </c>
      <c r="R34" s="1">
        <f t="shared" si="19"/>
        <v>449.66133954667225</v>
      </c>
      <c r="S34" s="1">
        <f t="shared" si="10"/>
        <v>35.217000000000006</v>
      </c>
      <c r="T34" s="60">
        <f t="shared" si="11"/>
        <v>21.130200000000002</v>
      </c>
      <c r="U34" s="101">
        <f t="shared" si="12"/>
        <v>3725.6217277486912</v>
      </c>
      <c r="V34" s="102">
        <f t="shared" si="13"/>
        <v>8199.20436963351</v>
      </c>
      <c r="W34" s="102">
        <f t="shared" si="14"/>
        <v>7092.75</v>
      </c>
      <c r="X34" s="102">
        <f t="shared" si="1"/>
        <v>136400.88</v>
      </c>
      <c r="Y34" s="103">
        <f t="shared" si="15"/>
        <v>47628</v>
      </c>
      <c r="AA34" s="3" t="s">
        <v>50</v>
      </c>
      <c r="AB34" s="3" t="s">
        <v>126</v>
      </c>
      <c r="AC34" s="3" t="s">
        <v>127</v>
      </c>
      <c r="AD34" s="3" t="s">
        <v>51</v>
      </c>
      <c r="AE34" s="33" t="s">
        <v>52</v>
      </c>
      <c r="AF34" s="3" t="s">
        <v>53</v>
      </c>
      <c r="AG34" s="3" t="s">
        <v>54</v>
      </c>
      <c r="AH34" s="3" t="s">
        <v>13</v>
      </c>
      <c r="AI34" s="3" t="s">
        <v>0</v>
      </c>
      <c r="AJ34" s="107">
        <v>8</v>
      </c>
      <c r="AK34" s="108">
        <v>7</v>
      </c>
      <c r="AL34" s="108">
        <v>6</v>
      </c>
      <c r="AM34" s="108">
        <v>5</v>
      </c>
      <c r="AN34" s="108">
        <v>4</v>
      </c>
      <c r="AO34" s="108">
        <v>3</v>
      </c>
      <c r="AP34" s="108">
        <v>2</v>
      </c>
      <c r="AQ34" s="109">
        <v>1</v>
      </c>
    </row>
    <row r="35" spans="2:43" ht="12.75">
      <c r="B35" s="122">
        <f t="shared" si="16"/>
        <v>39224.987616629216</v>
      </c>
      <c r="C35">
        <v>2</v>
      </c>
      <c r="D35" s="2">
        <v>0.012</v>
      </c>
      <c r="E35">
        <v>0.7</v>
      </c>
      <c r="F35">
        <f t="shared" si="17"/>
        <v>12.2</v>
      </c>
      <c r="G35" s="1">
        <f t="shared" si="2"/>
        <v>539.616</v>
      </c>
      <c r="H35" s="1">
        <f t="shared" si="18"/>
        <v>44.351999999999975</v>
      </c>
      <c r="I35">
        <v>25</v>
      </c>
      <c r="J35" s="64">
        <f t="shared" si="3"/>
        <v>25.000000000000004</v>
      </c>
      <c r="K35" s="117">
        <f t="shared" si="4"/>
        <v>0.0011666666666666663</v>
      </c>
      <c r="L35" s="1">
        <f t="shared" si="5"/>
        <v>187171.5256973822</v>
      </c>
      <c r="M35" s="1">
        <f t="shared" si="6"/>
        <v>15192.493968943361</v>
      </c>
      <c r="N35" s="1">
        <f t="shared" si="0"/>
        <v>21000</v>
      </c>
      <c r="O35" s="74">
        <f t="shared" si="20"/>
        <v>0.7234520937592077</v>
      </c>
      <c r="P35" s="84">
        <f t="shared" si="8"/>
        <v>6</v>
      </c>
      <c r="Q35" s="1">
        <f t="shared" si="9"/>
        <v>24.65189999999999</v>
      </c>
      <c r="R35" s="1">
        <f t="shared" si="19"/>
        <v>474.31323954667226</v>
      </c>
      <c r="S35" s="1">
        <f t="shared" si="10"/>
        <v>35.21699999999999</v>
      </c>
      <c r="T35" s="60">
        <f t="shared" si="11"/>
        <v>49.30379999999998</v>
      </c>
      <c r="U35" s="101">
        <f t="shared" si="12"/>
        <v>3725.6217277486912</v>
      </c>
      <c r="V35" s="102">
        <f t="shared" si="13"/>
        <v>8199.20436963351</v>
      </c>
      <c r="W35" s="102">
        <f t="shared" si="14"/>
        <v>7092.75</v>
      </c>
      <c r="X35" s="102">
        <f t="shared" si="1"/>
        <v>136400.88</v>
      </c>
      <c r="Y35" s="103">
        <f t="shared" si="15"/>
        <v>31753.0696</v>
      </c>
      <c r="AA35" s="3" t="s">
        <v>39</v>
      </c>
      <c r="AB35" s="4">
        <v>115</v>
      </c>
      <c r="AC35" s="4">
        <v>3.5</v>
      </c>
      <c r="AD35" s="4">
        <v>1750</v>
      </c>
      <c r="AE35" s="4">
        <v>120</v>
      </c>
      <c r="AF35" s="4">
        <v>0.03</v>
      </c>
      <c r="AG35" s="4">
        <v>0.0025</v>
      </c>
      <c r="AH35" s="4">
        <v>4</v>
      </c>
      <c r="AI35" s="4">
        <v>140</v>
      </c>
      <c r="AJ35" s="106">
        <f>AB35</f>
        <v>115</v>
      </c>
      <c r="AK35" s="106">
        <f aca="true" t="shared" si="21" ref="AK35:AK43">$AJ35*$AK$34/$AJ$34</f>
        <v>100.625</v>
      </c>
      <c r="AL35" s="106">
        <f aca="true" t="shared" si="22" ref="AL35:AQ35">$AJ35*AL$34/$AJ$34</f>
        <v>86.25</v>
      </c>
      <c r="AM35" s="106">
        <f t="shared" si="22"/>
        <v>71.875</v>
      </c>
      <c r="AN35" s="106">
        <f t="shared" si="22"/>
        <v>57.5</v>
      </c>
      <c r="AO35" s="106">
        <f t="shared" si="22"/>
        <v>43.125</v>
      </c>
      <c r="AP35" s="106">
        <f t="shared" si="22"/>
        <v>28.75</v>
      </c>
      <c r="AQ35" s="106">
        <f t="shared" si="22"/>
        <v>14.375</v>
      </c>
    </row>
    <row r="36" spans="2:43" ht="12.75">
      <c r="B36" s="122">
        <f t="shared" si="16"/>
        <v>39224.98811662922</v>
      </c>
      <c r="C36">
        <v>0</v>
      </c>
      <c r="D36" s="2">
        <v>0.012</v>
      </c>
      <c r="E36">
        <v>0.3</v>
      </c>
      <c r="F36">
        <f t="shared" si="17"/>
        <v>12.5</v>
      </c>
      <c r="G36" s="1">
        <f t="shared" si="2"/>
        <v>558.624</v>
      </c>
      <c r="H36" s="1">
        <f t="shared" si="18"/>
        <v>19.008000000000038</v>
      </c>
      <c r="I36">
        <v>25</v>
      </c>
      <c r="J36" s="64">
        <f t="shared" si="3"/>
        <v>25</v>
      </c>
      <c r="K36" s="117">
        <f t="shared" si="4"/>
        <v>0.0005</v>
      </c>
      <c r="L36" s="1">
        <f t="shared" si="5"/>
        <v>187170.4560973822</v>
      </c>
      <c r="M36" s="1">
        <f t="shared" si="6"/>
        <v>15192.407150761543</v>
      </c>
      <c r="N36" s="1">
        <f t="shared" si="0"/>
        <v>21000</v>
      </c>
      <c r="O36" s="74">
        <f t="shared" si="20"/>
        <v>0.7234479595600735</v>
      </c>
      <c r="P36" s="84">
        <f t="shared" si="8"/>
        <v>6</v>
      </c>
      <c r="Q36" s="1">
        <f t="shared" si="9"/>
        <v>10.5651</v>
      </c>
      <c r="R36" s="1">
        <f t="shared" si="19"/>
        <v>484.87833954667224</v>
      </c>
      <c r="S36" s="1">
        <f t="shared" si="10"/>
        <v>35.217</v>
      </c>
      <c r="T36" s="60">
        <f t="shared" si="11"/>
        <v>21.1302</v>
      </c>
      <c r="U36" s="101">
        <f t="shared" si="12"/>
        <v>3725.6217277486912</v>
      </c>
      <c r="V36" s="102">
        <f t="shared" si="13"/>
        <v>8199.20436963351</v>
      </c>
      <c r="W36" s="102">
        <f t="shared" si="14"/>
        <v>7092.75</v>
      </c>
      <c r="X36" s="102">
        <f t="shared" si="1"/>
        <v>136400.88</v>
      </c>
      <c r="Y36" s="103">
        <f t="shared" si="15"/>
        <v>31752</v>
      </c>
      <c r="AA36" s="3" t="s">
        <v>40</v>
      </c>
      <c r="AB36" s="4">
        <v>135</v>
      </c>
      <c r="AC36" s="4">
        <v>4.2</v>
      </c>
      <c r="AD36" s="4">
        <v>2300</v>
      </c>
      <c r="AE36" s="4">
        <v>120</v>
      </c>
      <c r="AF36" s="4">
        <v>0.03</v>
      </c>
      <c r="AG36" s="4">
        <v>0.0025</v>
      </c>
      <c r="AH36" s="4">
        <v>4</v>
      </c>
      <c r="AI36" s="4">
        <v>160</v>
      </c>
      <c r="AJ36" s="106">
        <f aca="true" t="shared" si="23" ref="AJ36:AJ43">AB36</f>
        <v>135</v>
      </c>
      <c r="AK36" s="106">
        <f t="shared" si="21"/>
        <v>118.125</v>
      </c>
      <c r="AL36" s="106">
        <f aca="true" t="shared" si="24" ref="AL36:AQ43">$AJ36*AL$34/$AJ$34</f>
        <v>101.25</v>
      </c>
      <c r="AM36" s="106">
        <f t="shared" si="24"/>
        <v>84.375</v>
      </c>
      <c r="AN36" s="106">
        <f t="shared" si="24"/>
        <v>67.5</v>
      </c>
      <c r="AO36" s="106">
        <f t="shared" si="24"/>
        <v>50.625</v>
      </c>
      <c r="AP36" s="106">
        <f t="shared" si="24"/>
        <v>33.75</v>
      </c>
      <c r="AQ36" s="106">
        <f t="shared" si="24"/>
        <v>16.875</v>
      </c>
    </row>
    <row r="37" spans="2:44" ht="12.75">
      <c r="B37" s="122">
        <f t="shared" si="16"/>
        <v>39224.98890297279</v>
      </c>
      <c r="C37">
        <v>8</v>
      </c>
      <c r="D37" s="2">
        <v>0.014</v>
      </c>
      <c r="E37">
        <v>0.4</v>
      </c>
      <c r="F37">
        <f t="shared" si="17"/>
        <v>12.9</v>
      </c>
      <c r="G37" s="1">
        <f t="shared" si="2"/>
        <v>588.192</v>
      </c>
      <c r="H37" s="1">
        <f t="shared" si="18"/>
        <v>29.567999999999984</v>
      </c>
      <c r="I37">
        <v>25</v>
      </c>
      <c r="J37" s="64">
        <f t="shared" si="3"/>
        <v>21.19514573703557</v>
      </c>
      <c r="K37" s="117">
        <f t="shared" si="4"/>
        <v>0.0007863435747716509</v>
      </c>
      <c r="L37" s="1">
        <f t="shared" si="5"/>
        <v>305164.2144973822</v>
      </c>
      <c r="M37" s="1">
        <f t="shared" si="6"/>
        <v>24769.822605307</v>
      </c>
      <c r="N37" s="1">
        <f t="shared" si="0"/>
        <v>21000</v>
      </c>
      <c r="O37" s="74">
        <f t="shared" si="20"/>
        <v>1.179515362157476</v>
      </c>
      <c r="P37" s="84">
        <f t="shared" si="8"/>
        <v>8</v>
      </c>
      <c r="Q37" s="1">
        <f t="shared" si="9"/>
        <v>22.154129338186582</v>
      </c>
      <c r="R37" s="1">
        <f t="shared" si="19"/>
        <v>507.0324688848588</v>
      </c>
      <c r="S37" s="1">
        <f t="shared" si="10"/>
        <v>55.38532334546645</v>
      </c>
      <c r="T37" s="60">
        <f t="shared" si="11"/>
        <v>44.308258676373164</v>
      </c>
      <c r="U37" s="101">
        <f t="shared" si="12"/>
        <v>3725.6217277486912</v>
      </c>
      <c r="V37" s="102">
        <f t="shared" si="13"/>
        <v>8199.20436963351</v>
      </c>
      <c r="W37" s="102">
        <f t="shared" si="14"/>
        <v>7092.75</v>
      </c>
      <c r="X37" s="102">
        <f t="shared" si="1"/>
        <v>159134.36000000002</v>
      </c>
      <c r="Y37" s="103">
        <f t="shared" si="15"/>
        <v>127012.2784</v>
      </c>
      <c r="AA37" s="3" t="s">
        <v>41</v>
      </c>
      <c r="AB37" s="4">
        <v>167.7</v>
      </c>
      <c r="AC37" s="4">
        <v>5.5</v>
      </c>
      <c r="AD37" s="4">
        <v>3000</v>
      </c>
      <c r="AE37" s="4">
        <v>120</v>
      </c>
      <c r="AF37" s="4">
        <v>0.03</v>
      </c>
      <c r="AG37" s="4">
        <v>0.0025</v>
      </c>
      <c r="AH37" s="4">
        <v>4</v>
      </c>
      <c r="AI37" s="4">
        <v>180</v>
      </c>
      <c r="AJ37" s="106">
        <f t="shared" si="23"/>
        <v>167.7</v>
      </c>
      <c r="AK37" s="106">
        <f t="shared" si="21"/>
        <v>146.73749999999998</v>
      </c>
      <c r="AL37" s="106">
        <f t="shared" si="24"/>
        <v>125.77499999999999</v>
      </c>
      <c r="AM37" s="106">
        <f t="shared" si="24"/>
        <v>104.8125</v>
      </c>
      <c r="AN37" s="106">
        <f t="shared" si="24"/>
        <v>83.85</v>
      </c>
      <c r="AO37" s="106">
        <f t="shared" si="24"/>
        <v>62.887499999999996</v>
      </c>
      <c r="AP37" s="106">
        <f t="shared" si="24"/>
        <v>41.925</v>
      </c>
      <c r="AQ37" s="106">
        <f t="shared" si="24"/>
        <v>20.9625</v>
      </c>
      <c r="AR37" s="53">
        <v>0.18</v>
      </c>
    </row>
    <row r="38" spans="2:44" ht="12.75">
      <c r="B38" s="122">
        <f t="shared" si="16"/>
        <v>39224.989492722205</v>
      </c>
      <c r="C38">
        <v>0</v>
      </c>
      <c r="D38" s="2">
        <v>0.014</v>
      </c>
      <c r="E38">
        <v>0.3</v>
      </c>
      <c r="F38">
        <f t="shared" si="17"/>
        <v>13.200000000000001</v>
      </c>
      <c r="G38" s="1">
        <f t="shared" si="2"/>
        <v>610.368</v>
      </c>
      <c r="H38" s="1">
        <f t="shared" si="18"/>
        <v>22.176000000000045</v>
      </c>
      <c r="I38">
        <v>25</v>
      </c>
      <c r="J38" s="64">
        <f t="shared" si="3"/>
        <v>21.195442896986126</v>
      </c>
      <c r="K38" s="117">
        <f>(E38/J38)/24</f>
        <v>0.0005897494126804696</v>
      </c>
      <c r="L38" s="1">
        <f t="shared" si="5"/>
        <v>305159.9360973822</v>
      </c>
      <c r="M38" s="1">
        <f t="shared" si="6"/>
        <v>24769.47533257973</v>
      </c>
      <c r="N38" s="1">
        <f t="shared" si="0"/>
        <v>21000</v>
      </c>
      <c r="O38" s="74">
        <f t="shared" si="20"/>
        <v>1.1794988253609395</v>
      </c>
      <c r="P38" s="84">
        <f t="shared" si="8"/>
        <v>8</v>
      </c>
      <c r="Q38" s="1">
        <f t="shared" si="9"/>
        <v>16.61536405309448</v>
      </c>
      <c r="R38" s="1">
        <f t="shared" si="19"/>
        <v>523.6478329379534</v>
      </c>
      <c r="S38" s="1">
        <f t="shared" si="10"/>
        <v>55.38454684364827</v>
      </c>
      <c r="T38" s="60">
        <f t="shared" si="11"/>
        <v>33.23072810618896</v>
      </c>
      <c r="U38" s="101">
        <f t="shared" si="12"/>
        <v>3725.6217277486912</v>
      </c>
      <c r="V38" s="102">
        <f t="shared" si="13"/>
        <v>8199.20436963351</v>
      </c>
      <c r="W38" s="102">
        <f t="shared" si="14"/>
        <v>7092.75</v>
      </c>
      <c r="X38" s="102">
        <f t="shared" si="1"/>
        <v>159134.36000000002</v>
      </c>
      <c r="Y38" s="103">
        <f t="shared" si="15"/>
        <v>127008</v>
      </c>
      <c r="AA38" s="3" t="s">
        <v>42</v>
      </c>
      <c r="AB38" s="4">
        <v>167.7</v>
      </c>
      <c r="AC38" s="4">
        <v>5.5</v>
      </c>
      <c r="AD38" s="4">
        <v>3000</v>
      </c>
      <c r="AE38" s="4">
        <v>120</v>
      </c>
      <c r="AF38" s="4">
        <v>0.03</v>
      </c>
      <c r="AG38" s="4">
        <v>0.0025</v>
      </c>
      <c r="AH38" s="4">
        <v>6</v>
      </c>
      <c r="AI38" s="4">
        <v>191</v>
      </c>
      <c r="AJ38" s="106">
        <f t="shared" si="23"/>
        <v>167.7</v>
      </c>
      <c r="AK38" s="106">
        <f t="shared" si="21"/>
        <v>146.73749999999998</v>
      </c>
      <c r="AL38" s="106">
        <f t="shared" si="24"/>
        <v>125.77499999999999</v>
      </c>
      <c r="AM38" s="106">
        <f t="shared" si="24"/>
        <v>104.8125</v>
      </c>
      <c r="AN38" s="106">
        <f t="shared" si="24"/>
        <v>83.85</v>
      </c>
      <c r="AO38" s="106">
        <f t="shared" si="24"/>
        <v>62.887499999999996</v>
      </c>
      <c r="AP38" s="106">
        <f t="shared" si="24"/>
        <v>41.925</v>
      </c>
      <c r="AQ38" s="106">
        <f t="shared" si="24"/>
        <v>20.9625</v>
      </c>
      <c r="AR38" s="53">
        <v>0.21</v>
      </c>
    </row>
    <row r="39" spans="2:44" ht="12.75">
      <c r="B39" s="122">
        <f t="shared" si="16"/>
        <v>39224.99002111418</v>
      </c>
      <c r="C39">
        <v>6</v>
      </c>
      <c r="D39" s="2">
        <v>0.014</v>
      </c>
      <c r="E39">
        <v>0.3</v>
      </c>
      <c r="F39">
        <f t="shared" si="17"/>
        <v>13.500000000000002</v>
      </c>
      <c r="G39" s="1">
        <f t="shared" si="2"/>
        <v>632.5440000000001</v>
      </c>
      <c r="H39" s="1">
        <f t="shared" si="18"/>
        <v>22.176000000000045</v>
      </c>
      <c r="I39">
        <v>25</v>
      </c>
      <c r="J39" s="64">
        <f t="shared" si="3"/>
        <v>23.656680134336135</v>
      </c>
      <c r="K39" s="117">
        <f t="shared" si="4"/>
        <v>0.0005283919776155345</v>
      </c>
      <c r="L39" s="1">
        <f t="shared" si="5"/>
        <v>273411.14489738224</v>
      </c>
      <c r="M39" s="1">
        <f t="shared" si="6"/>
        <v>22192.463059852456</v>
      </c>
      <c r="N39" s="1">
        <f t="shared" si="0"/>
        <v>21000</v>
      </c>
      <c r="O39" s="74">
        <f t="shared" si="20"/>
        <v>1.0567839552310694</v>
      </c>
      <c r="P39" s="84">
        <f t="shared" si="8"/>
        <v>8</v>
      </c>
      <c r="Q39" s="1">
        <f>IF($AB$11*E39/J39*VLOOKUP($AB$10,$AA$35:$AQ$44,MATCH(P39,$AA$34:$AQ$34,0),0)&gt;0,$AB$11*E39/J39*VLOOKUP($AB$10,$AA$35:$AQ$44,MATCH(P39,$AA$34:$AQ$34,0),0),0)</f>
        <v>14.886704220549024</v>
      </c>
      <c r="R39" s="1">
        <f t="shared" si="19"/>
        <v>538.5345371585024</v>
      </c>
      <c r="S39" s="1">
        <f t="shared" si="10"/>
        <v>49.62234740183008</v>
      </c>
      <c r="T39" s="60">
        <f t="shared" si="11"/>
        <v>29.77340844109805</v>
      </c>
      <c r="U39" s="101">
        <f t="shared" si="12"/>
        <v>3725.6217277486912</v>
      </c>
      <c r="V39" s="102">
        <f t="shared" si="13"/>
        <v>8199.20436963351</v>
      </c>
      <c r="W39" s="102">
        <f t="shared" si="14"/>
        <v>7092.75</v>
      </c>
      <c r="X39" s="102">
        <f t="shared" si="1"/>
        <v>159134.36000000002</v>
      </c>
      <c r="Y39" s="103">
        <f t="shared" si="15"/>
        <v>95259.2088</v>
      </c>
      <c r="AA39" s="3" t="s">
        <v>43</v>
      </c>
      <c r="AB39" s="4">
        <v>194</v>
      </c>
      <c r="AC39" s="4">
        <v>6</v>
      </c>
      <c r="AD39" s="4">
        <v>3600</v>
      </c>
      <c r="AE39" s="4">
        <v>120</v>
      </c>
      <c r="AF39" s="4">
        <v>0.03</v>
      </c>
      <c r="AG39" s="4">
        <v>0.0025</v>
      </c>
      <c r="AH39" s="4">
        <v>6</v>
      </c>
      <c r="AI39" s="4">
        <v>200</v>
      </c>
      <c r="AJ39" s="106">
        <f t="shared" si="23"/>
        <v>194</v>
      </c>
      <c r="AK39" s="106">
        <f t="shared" si="21"/>
        <v>169.75</v>
      </c>
      <c r="AL39" s="106">
        <f t="shared" si="24"/>
        <v>145.5</v>
      </c>
      <c r="AM39" s="106">
        <f t="shared" si="24"/>
        <v>121.25</v>
      </c>
      <c r="AN39" s="106">
        <f t="shared" si="24"/>
        <v>97</v>
      </c>
      <c r="AO39" s="106">
        <f t="shared" si="24"/>
        <v>72.75</v>
      </c>
      <c r="AP39" s="106">
        <f t="shared" si="24"/>
        <v>48.5</v>
      </c>
      <c r="AQ39" s="106">
        <f t="shared" si="24"/>
        <v>24.25</v>
      </c>
      <c r="AR39" s="53">
        <v>0.21</v>
      </c>
    </row>
    <row r="40" spans="2:44" ht="12.75">
      <c r="B40" s="122">
        <f t="shared" si="16"/>
        <v>39224.99075491823</v>
      </c>
      <c r="C40">
        <v>0</v>
      </c>
      <c r="D40" s="2">
        <v>0.015</v>
      </c>
      <c r="E40">
        <v>0.4</v>
      </c>
      <c r="F40">
        <f t="shared" si="17"/>
        <v>13.900000000000002</v>
      </c>
      <c r="G40" s="1">
        <f t="shared" si="2"/>
        <v>664.224</v>
      </c>
      <c r="H40" s="1">
        <f t="shared" si="18"/>
        <v>31.67999999999995</v>
      </c>
      <c r="I40">
        <v>25</v>
      </c>
      <c r="J40" s="64">
        <f t="shared" si="3"/>
        <v>22.712693729087725</v>
      </c>
      <c r="K40" s="117">
        <f t="shared" si="4"/>
        <v>0.0007338040509621268</v>
      </c>
      <c r="L40" s="1">
        <f t="shared" si="5"/>
        <v>284774.6760973822</v>
      </c>
      <c r="M40" s="1">
        <f t="shared" si="6"/>
        <v>23114.827605306997</v>
      </c>
      <c r="N40" s="1">
        <f t="shared" si="0"/>
        <v>21000</v>
      </c>
      <c r="O40" s="74">
        <f t="shared" si="20"/>
        <v>1.1007060764431904</v>
      </c>
      <c r="P40" s="84">
        <f t="shared" si="8"/>
        <v>8</v>
      </c>
      <c r="Q40" s="1">
        <f aca="true" t="shared" si="25" ref="Q40:Q53">IF($AB$11*E40/J40*VLOOKUP($AB$10,$AA$35:$AQ$44,MATCH(P40,$AA$34:$AQ$34,),0)&gt;0,$AB$11*E40/J40*VLOOKUP($AB$10,$AA$35:$AQ$44,MATCH(P40,$AA$34:$AQ$34,),0),0)</f>
        <v>20.673901810186578</v>
      </c>
      <c r="R40" s="1">
        <f t="shared" si="19"/>
        <v>559.208438968689</v>
      </c>
      <c r="S40" s="1">
        <f t="shared" si="10"/>
        <v>51.684754525466445</v>
      </c>
      <c r="T40" s="60">
        <f t="shared" si="11"/>
        <v>41.347803620373156</v>
      </c>
      <c r="U40" s="101">
        <f t="shared" si="12"/>
        <v>3725.6217277486912</v>
      </c>
      <c r="V40" s="102">
        <f t="shared" si="13"/>
        <v>8199.20436963351</v>
      </c>
      <c r="W40" s="102">
        <f t="shared" si="14"/>
        <v>7092.75</v>
      </c>
      <c r="X40" s="102">
        <f t="shared" si="1"/>
        <v>170501.1</v>
      </c>
      <c r="Y40" s="103">
        <f t="shared" si="15"/>
        <v>95256</v>
      </c>
      <c r="AA40" s="3" t="s">
        <v>44</v>
      </c>
      <c r="AB40" s="4">
        <v>194</v>
      </c>
      <c r="AC40" s="4">
        <v>6</v>
      </c>
      <c r="AD40" s="4">
        <v>3600</v>
      </c>
      <c r="AE40" s="4">
        <v>120</v>
      </c>
      <c r="AF40" s="4">
        <v>0.03</v>
      </c>
      <c r="AG40" s="4">
        <v>0.0025</v>
      </c>
      <c r="AH40" s="4">
        <v>6</v>
      </c>
      <c r="AI40" s="4">
        <v>200</v>
      </c>
      <c r="AJ40" s="106">
        <f t="shared" si="23"/>
        <v>194</v>
      </c>
      <c r="AK40" s="106">
        <f t="shared" si="21"/>
        <v>169.75</v>
      </c>
      <c r="AL40" s="106">
        <f t="shared" si="24"/>
        <v>145.5</v>
      </c>
      <c r="AM40" s="106">
        <f t="shared" si="24"/>
        <v>121.25</v>
      </c>
      <c r="AN40" s="106">
        <f t="shared" si="24"/>
        <v>97</v>
      </c>
      <c r="AO40" s="106">
        <f t="shared" si="24"/>
        <v>72.75</v>
      </c>
      <c r="AP40" s="106">
        <f t="shared" si="24"/>
        <v>48.5</v>
      </c>
      <c r="AQ40" s="106">
        <f t="shared" si="24"/>
        <v>24.25</v>
      </c>
      <c r="AR40" s="53">
        <v>0.21</v>
      </c>
    </row>
    <row r="41" spans="2:44" ht="12.75">
      <c r="B41" s="122">
        <f t="shared" si="16"/>
        <v>39224.99127459462</v>
      </c>
      <c r="C41">
        <v>5</v>
      </c>
      <c r="D41" s="2">
        <v>0.015</v>
      </c>
      <c r="E41">
        <v>0.3</v>
      </c>
      <c r="F41">
        <f t="shared" si="17"/>
        <v>14.200000000000003</v>
      </c>
      <c r="G41" s="1">
        <f t="shared" si="2"/>
        <v>687.984</v>
      </c>
      <c r="H41" s="1">
        <f t="shared" si="18"/>
        <v>23.75999999999999</v>
      </c>
      <c r="I41">
        <v>25</v>
      </c>
      <c r="J41" s="64">
        <f t="shared" si="3"/>
        <v>24.0534307382898</v>
      </c>
      <c r="K41" s="117">
        <f t="shared" si="4"/>
        <v>0.0005196763877886947</v>
      </c>
      <c r="L41" s="1">
        <f t="shared" si="5"/>
        <v>268901.3500973822</v>
      </c>
      <c r="M41" s="1">
        <f t="shared" si="6"/>
        <v>21826.40828712518</v>
      </c>
      <c r="N41" s="1">
        <f t="shared" si="0"/>
        <v>21000</v>
      </c>
      <c r="O41" s="74">
        <f t="shared" si="20"/>
        <v>1.0393527755773895</v>
      </c>
      <c r="P41" s="84">
        <f t="shared" si="8"/>
        <v>8</v>
      </c>
      <c r="Q41" s="1">
        <f t="shared" si="25"/>
        <v>14.64115467900357</v>
      </c>
      <c r="R41" s="1">
        <f t="shared" si="19"/>
        <v>573.8495936476926</v>
      </c>
      <c r="S41" s="1">
        <f t="shared" si="10"/>
        <v>48.8038489300119</v>
      </c>
      <c r="T41" s="60">
        <f t="shared" si="11"/>
        <v>29.28230935800714</v>
      </c>
      <c r="U41" s="101">
        <f t="shared" si="12"/>
        <v>3725.6217277486912</v>
      </c>
      <c r="V41" s="102">
        <f t="shared" si="13"/>
        <v>8199.20436963351</v>
      </c>
      <c r="W41" s="102">
        <f t="shared" si="14"/>
        <v>7092.75</v>
      </c>
      <c r="X41" s="102">
        <f t="shared" si="1"/>
        <v>170501.1</v>
      </c>
      <c r="Y41" s="103">
        <f t="shared" si="15"/>
        <v>79382.674</v>
      </c>
      <c r="AA41" s="3" t="s">
        <v>45</v>
      </c>
      <c r="AB41" s="4">
        <v>193.8</v>
      </c>
      <c r="AC41" s="4">
        <v>6.3</v>
      </c>
      <c r="AD41" s="4">
        <v>3800</v>
      </c>
      <c r="AE41" s="4">
        <v>120</v>
      </c>
      <c r="AF41" s="4">
        <v>0.03</v>
      </c>
      <c r="AG41" s="4">
        <v>0.0025</v>
      </c>
      <c r="AH41" s="4">
        <v>6</v>
      </c>
      <c r="AI41" s="4">
        <v>220</v>
      </c>
      <c r="AJ41" s="106">
        <f t="shared" si="23"/>
        <v>193.8</v>
      </c>
      <c r="AK41" s="106">
        <f t="shared" si="21"/>
        <v>169.57500000000002</v>
      </c>
      <c r="AL41" s="106">
        <f t="shared" si="24"/>
        <v>145.35000000000002</v>
      </c>
      <c r="AM41" s="106">
        <f t="shared" si="24"/>
        <v>121.125</v>
      </c>
      <c r="AN41" s="106">
        <f t="shared" si="24"/>
        <v>96.9</v>
      </c>
      <c r="AO41" s="106">
        <f t="shared" si="24"/>
        <v>72.67500000000001</v>
      </c>
      <c r="AP41" s="106">
        <f t="shared" si="24"/>
        <v>48.45</v>
      </c>
      <c r="AQ41" s="106">
        <f t="shared" si="24"/>
        <v>24.225</v>
      </c>
      <c r="AR41" s="53">
        <v>0.25</v>
      </c>
    </row>
    <row r="42" spans="2:44" ht="12.75">
      <c r="B42" s="122">
        <f t="shared" si="16"/>
        <v>39224.99179426584</v>
      </c>
      <c r="C42">
        <v>0</v>
      </c>
      <c r="D42" s="2">
        <v>0.015</v>
      </c>
      <c r="E42">
        <v>0.3</v>
      </c>
      <c r="F42">
        <f t="shared" si="17"/>
        <v>14.500000000000004</v>
      </c>
      <c r="G42" s="1">
        <f t="shared" si="2"/>
        <v>711.744</v>
      </c>
      <c r="H42" s="1">
        <f t="shared" si="18"/>
        <v>23.75999999999999</v>
      </c>
      <c r="I42">
        <v>25</v>
      </c>
      <c r="J42" s="64">
        <f aca="true" t="shared" si="26" ref="J42:J100">IF(M42&lt;=N42,M42/L42*308,N42/L42*308)</f>
        <v>24.05366993200666</v>
      </c>
      <c r="K42" s="117">
        <f t="shared" si="4"/>
        <v>0.000519671220039777</v>
      </c>
      <c r="L42" s="1">
        <f t="shared" si="5"/>
        <v>268898.6760973822</v>
      </c>
      <c r="M42" s="1">
        <f t="shared" si="6"/>
        <v>21826.191241670633</v>
      </c>
      <c r="N42" s="1">
        <f aca="true" t="shared" si="27" ref="N42:N105">$AB$11*(VLOOKUP($AB$10,$AA$36:$AI$44,4,0))</f>
        <v>21000</v>
      </c>
      <c r="O42" s="74">
        <f t="shared" si="20"/>
        <v>1.039342440079554</v>
      </c>
      <c r="P42" s="84">
        <f t="shared" si="8"/>
        <v>8</v>
      </c>
      <c r="Q42" s="1">
        <f t="shared" si="25"/>
        <v>14.64100908491266</v>
      </c>
      <c r="R42" s="1">
        <f t="shared" si="19"/>
        <v>588.4906027326052</v>
      </c>
      <c r="S42" s="1">
        <f t="shared" si="10"/>
        <v>48.803363616375535</v>
      </c>
      <c r="T42" s="60">
        <f t="shared" si="11"/>
        <v>29.28201816982532</v>
      </c>
      <c r="U42" s="101">
        <f t="shared" si="12"/>
        <v>3725.6217277486912</v>
      </c>
      <c r="V42" s="102">
        <f t="shared" si="13"/>
        <v>8199.20436963351</v>
      </c>
      <c r="W42" s="102">
        <f t="shared" si="14"/>
        <v>7092.75</v>
      </c>
      <c r="X42" s="102">
        <f t="shared" si="1"/>
        <v>170501.1</v>
      </c>
      <c r="Y42" s="103">
        <f t="shared" si="15"/>
        <v>79380</v>
      </c>
      <c r="AA42" s="3" t="s">
        <v>46</v>
      </c>
      <c r="AB42" s="4">
        <v>204</v>
      </c>
      <c r="AC42" s="4">
        <v>6.5</v>
      </c>
      <c r="AD42" s="4">
        <v>4000</v>
      </c>
      <c r="AE42" s="4">
        <v>120</v>
      </c>
      <c r="AF42" s="4">
        <v>0.03</v>
      </c>
      <c r="AG42" s="4">
        <v>0.0025</v>
      </c>
      <c r="AH42" s="4">
        <v>6</v>
      </c>
      <c r="AI42" s="4">
        <v>230</v>
      </c>
      <c r="AJ42" s="106">
        <f t="shared" si="23"/>
        <v>204</v>
      </c>
      <c r="AK42" s="106">
        <f t="shared" si="21"/>
        <v>178.5</v>
      </c>
      <c r="AL42" s="106">
        <f t="shared" si="24"/>
        <v>153</v>
      </c>
      <c r="AM42" s="106">
        <f t="shared" si="24"/>
        <v>127.5</v>
      </c>
      <c r="AN42" s="106">
        <f t="shared" si="24"/>
        <v>102</v>
      </c>
      <c r="AO42" s="106">
        <f t="shared" si="24"/>
        <v>76.5</v>
      </c>
      <c r="AP42" s="106">
        <f t="shared" si="24"/>
        <v>51</v>
      </c>
      <c r="AQ42" s="106">
        <f>$AJ42*AQ$34/$AJ$34</f>
        <v>25.5</v>
      </c>
      <c r="AR42" s="53">
        <v>0.33</v>
      </c>
    </row>
    <row r="43" spans="2:43" ht="12.75">
      <c r="B43" s="122">
        <f t="shared" si="16"/>
        <v>39224.992294265845</v>
      </c>
      <c r="C43">
        <v>0</v>
      </c>
      <c r="D43" s="2">
        <v>0.015</v>
      </c>
      <c r="E43">
        <v>0.3</v>
      </c>
      <c r="F43">
        <f t="shared" si="17"/>
        <v>14.800000000000004</v>
      </c>
      <c r="G43" s="1">
        <f t="shared" si="2"/>
        <v>735.504</v>
      </c>
      <c r="H43" s="1">
        <f t="shared" si="18"/>
        <v>23.75999999999999</v>
      </c>
      <c r="I43">
        <v>25</v>
      </c>
      <c r="J43" s="64">
        <f t="shared" si="26"/>
        <v>25</v>
      </c>
      <c r="K43" s="117">
        <f t="shared" si="4"/>
        <v>0.0005</v>
      </c>
      <c r="L43" s="1">
        <f t="shared" si="5"/>
        <v>189518.6760973822</v>
      </c>
      <c r="M43" s="1">
        <f t="shared" si="6"/>
        <v>15383.009423488815</v>
      </c>
      <c r="N43" s="1">
        <f t="shared" si="27"/>
        <v>21000</v>
      </c>
      <c r="O43" s="74">
        <f t="shared" si="20"/>
        <v>0.7325242582613721</v>
      </c>
      <c r="P43" s="84">
        <f t="shared" si="8"/>
        <v>6</v>
      </c>
      <c r="Q43" s="1">
        <f t="shared" si="25"/>
        <v>10.5651</v>
      </c>
      <c r="R43" s="1">
        <f t="shared" si="19"/>
        <v>599.0557027326053</v>
      </c>
      <c r="S43" s="1">
        <f t="shared" si="10"/>
        <v>35.217</v>
      </c>
      <c r="T43" s="60">
        <f t="shared" si="11"/>
        <v>21.1302</v>
      </c>
      <c r="U43" s="101">
        <f t="shared" si="12"/>
        <v>3725.6217277486912</v>
      </c>
      <c r="V43" s="102">
        <f t="shared" si="13"/>
        <v>8199.20436963351</v>
      </c>
      <c r="W43" s="102">
        <f t="shared" si="14"/>
        <v>7092.75</v>
      </c>
      <c r="X43" s="102">
        <f t="shared" si="1"/>
        <v>170501.1</v>
      </c>
      <c r="Y43" s="103">
        <f t="shared" si="15"/>
        <v>0</v>
      </c>
      <c r="AA43" s="3" t="s">
        <v>47</v>
      </c>
      <c r="AB43" s="4">
        <v>275</v>
      </c>
      <c r="AC43" s="4">
        <v>10</v>
      </c>
      <c r="AD43" s="4">
        <v>6000</v>
      </c>
      <c r="AE43" s="4">
        <v>120</v>
      </c>
      <c r="AF43" s="4">
        <v>0.03</v>
      </c>
      <c r="AG43" s="4">
        <v>0.0025</v>
      </c>
      <c r="AH43" s="4">
        <v>6</v>
      </c>
      <c r="AI43" s="4">
        <v>240</v>
      </c>
      <c r="AJ43" s="106">
        <f t="shared" si="23"/>
        <v>275</v>
      </c>
      <c r="AK43" s="106">
        <f t="shared" si="21"/>
        <v>240.625</v>
      </c>
      <c r="AL43" s="106">
        <f t="shared" si="24"/>
        <v>206.25</v>
      </c>
      <c r="AM43" s="106">
        <f t="shared" si="24"/>
        <v>171.875</v>
      </c>
      <c r="AN43" s="106">
        <f t="shared" si="24"/>
        <v>137.5</v>
      </c>
      <c r="AO43" s="106">
        <f t="shared" si="24"/>
        <v>103.125</v>
      </c>
      <c r="AP43" s="106">
        <f t="shared" si="24"/>
        <v>68.75</v>
      </c>
      <c r="AQ43" s="106">
        <f t="shared" si="24"/>
        <v>34.375</v>
      </c>
    </row>
    <row r="44" spans="2:38" ht="12.75">
      <c r="B44" s="122">
        <f t="shared" si="16"/>
        <v>39224.99283590949</v>
      </c>
      <c r="C44">
        <v>5</v>
      </c>
      <c r="D44" s="2">
        <v>0.016</v>
      </c>
      <c r="E44">
        <v>0.3</v>
      </c>
      <c r="F44">
        <f t="shared" si="17"/>
        <v>15.100000000000005</v>
      </c>
      <c r="G44" s="1">
        <f t="shared" si="2"/>
        <v>760.8480000000001</v>
      </c>
      <c r="H44" s="1">
        <f t="shared" si="18"/>
        <v>25.34400000000005</v>
      </c>
      <c r="I44">
        <v>25</v>
      </c>
      <c r="J44" s="64">
        <f t="shared" si="26"/>
        <v>23.077903723369374</v>
      </c>
      <c r="K44" s="117">
        <f t="shared" si="4"/>
        <v>0.0005416436496934565</v>
      </c>
      <c r="L44" s="1">
        <f t="shared" si="5"/>
        <v>280268.0900973822</v>
      </c>
      <c r="M44" s="1">
        <f t="shared" si="6"/>
        <v>22749.03328712518</v>
      </c>
      <c r="N44" s="1">
        <f t="shared" si="27"/>
        <v>21000</v>
      </c>
      <c r="O44" s="74">
        <f t="shared" si="20"/>
        <v>1.0832872993869134</v>
      </c>
      <c r="P44" s="84">
        <f t="shared" si="8"/>
        <v>8</v>
      </c>
      <c r="Q44" s="1">
        <f t="shared" si="25"/>
        <v>15.260051529003569</v>
      </c>
      <c r="R44" s="1">
        <f t="shared" si="19"/>
        <v>614.3157542616088</v>
      </c>
      <c r="S44" s="1">
        <f t="shared" si="10"/>
        <v>50.866838430011896</v>
      </c>
      <c r="T44" s="60">
        <f t="shared" si="11"/>
        <v>30.520103058007138</v>
      </c>
      <c r="U44" s="101">
        <f t="shared" si="12"/>
        <v>3725.6217277486912</v>
      </c>
      <c r="V44" s="102">
        <f t="shared" si="13"/>
        <v>8199.20436963351</v>
      </c>
      <c r="W44" s="102">
        <f t="shared" si="14"/>
        <v>7092.75</v>
      </c>
      <c r="X44" s="102">
        <f t="shared" si="1"/>
        <v>181867.84</v>
      </c>
      <c r="Y44" s="103">
        <f t="shared" si="15"/>
        <v>79382.674</v>
      </c>
      <c r="AB44" t="s">
        <v>82</v>
      </c>
      <c r="AH44" t="s">
        <v>86</v>
      </c>
      <c r="AL44" s="72">
        <f>$AK44*AK$34/AJ$34</f>
        <v>0</v>
      </c>
    </row>
    <row r="45" spans="2:40" ht="12.75">
      <c r="B45" s="122">
        <f t="shared" si="16"/>
        <v>39224.99372173601</v>
      </c>
      <c r="C45">
        <v>4</v>
      </c>
      <c r="D45" s="2">
        <v>0.016</v>
      </c>
      <c r="E45">
        <v>0.4</v>
      </c>
      <c r="F45">
        <f t="shared" si="17"/>
        <v>15.500000000000005</v>
      </c>
      <c r="G45" s="1">
        <f t="shared" si="2"/>
        <v>794.6400000000001</v>
      </c>
      <c r="H45" s="1">
        <f t="shared" si="18"/>
        <v>33.79200000000003</v>
      </c>
      <c r="I45">
        <v>25</v>
      </c>
      <c r="J45" s="64">
        <f t="shared" si="26"/>
        <v>18.814820191870755</v>
      </c>
      <c r="K45" s="117">
        <f t="shared" si="4"/>
        <v>0.0008858265184945943</v>
      </c>
      <c r="L45" s="1">
        <f t="shared" si="5"/>
        <v>343771.5552973822</v>
      </c>
      <c r="M45" s="1">
        <f t="shared" si="6"/>
        <v>27903.535332579722</v>
      </c>
      <c r="N45" s="1">
        <f t="shared" si="27"/>
        <v>21000</v>
      </c>
      <c r="O45" s="74">
        <f t="shared" si="20"/>
        <v>1.3287397777418914</v>
      </c>
      <c r="P45" s="84">
        <f t="shared" si="8"/>
        <v>8</v>
      </c>
      <c r="Q45" s="1">
        <f t="shared" si="25"/>
        <v>24.956922001459304</v>
      </c>
      <c r="R45" s="1">
        <f t="shared" si="19"/>
        <v>639.2726762630682</v>
      </c>
      <c r="S45" s="1">
        <f t="shared" si="10"/>
        <v>62.39230500364826</v>
      </c>
      <c r="T45" s="60">
        <f t="shared" si="11"/>
        <v>49.91384400291861</v>
      </c>
      <c r="U45" s="101">
        <f t="shared" si="12"/>
        <v>3725.6217277486912</v>
      </c>
      <c r="V45" s="102">
        <f t="shared" si="13"/>
        <v>8199.20436963351</v>
      </c>
      <c r="W45" s="102">
        <f t="shared" si="14"/>
        <v>7092.75</v>
      </c>
      <c r="X45" s="102">
        <f t="shared" si="1"/>
        <v>181867.84</v>
      </c>
      <c r="Y45" s="103">
        <f t="shared" si="15"/>
        <v>142886.1392</v>
      </c>
      <c r="AA45" s="55" t="s">
        <v>34</v>
      </c>
      <c r="AB45" t="s">
        <v>83</v>
      </c>
      <c r="AC45" t="s">
        <v>84</v>
      </c>
      <c r="AD45" t="s">
        <v>85</v>
      </c>
      <c r="AE45" t="s">
        <v>29</v>
      </c>
      <c r="AF45" t="s">
        <v>56</v>
      </c>
      <c r="AG45" t="s">
        <v>95</v>
      </c>
      <c r="AH45" t="s">
        <v>87</v>
      </c>
      <c r="AI45" t="s">
        <v>84</v>
      </c>
      <c r="AJ45" t="s">
        <v>85</v>
      </c>
      <c r="AK45" t="s">
        <v>29</v>
      </c>
      <c r="AL45" t="s">
        <v>56</v>
      </c>
      <c r="AM45" t="s">
        <v>15</v>
      </c>
      <c r="AN45" t="s">
        <v>51</v>
      </c>
    </row>
    <row r="46" spans="2:40" ht="12.75">
      <c r="B46" s="122">
        <f t="shared" si="16"/>
        <v>39224.99435542408</v>
      </c>
      <c r="C46">
        <v>4</v>
      </c>
      <c r="D46" s="2">
        <v>0.016</v>
      </c>
      <c r="E46">
        <v>0.3</v>
      </c>
      <c r="F46">
        <f t="shared" si="17"/>
        <v>15.800000000000006</v>
      </c>
      <c r="G46" s="1">
        <f t="shared" si="2"/>
        <v>819.9840000000002</v>
      </c>
      <c r="H46" s="1">
        <f t="shared" si="18"/>
        <v>25.34400000000005</v>
      </c>
      <c r="I46">
        <v>25</v>
      </c>
      <c r="J46" s="64">
        <f t="shared" si="26"/>
        <v>19.725793459243146</v>
      </c>
      <c r="K46" s="117">
        <f t="shared" si="4"/>
        <v>0.0006336880706891275</v>
      </c>
      <c r="L46" s="1">
        <f t="shared" si="5"/>
        <v>327895.5552973822</v>
      </c>
      <c r="M46" s="1">
        <f t="shared" si="6"/>
        <v>26614.89896894336</v>
      </c>
      <c r="N46" s="1">
        <f t="shared" si="27"/>
        <v>21000</v>
      </c>
      <c r="O46" s="74">
        <f t="shared" si="20"/>
        <v>1.2673761413782552</v>
      </c>
      <c r="P46" s="84">
        <f t="shared" si="8"/>
        <v>8</v>
      </c>
      <c r="Q46" s="1">
        <f t="shared" si="25"/>
        <v>17.8532742283672</v>
      </c>
      <c r="R46" s="1">
        <f t="shared" si="19"/>
        <v>657.1259504914354</v>
      </c>
      <c r="S46" s="1">
        <f t="shared" si="10"/>
        <v>59.51091409455734</v>
      </c>
      <c r="T46" s="60">
        <f t="shared" si="11"/>
        <v>35.7065484567344</v>
      </c>
      <c r="U46" s="101">
        <f t="shared" si="12"/>
        <v>3725.6217277486912</v>
      </c>
      <c r="V46" s="102">
        <f t="shared" si="13"/>
        <v>8199.20436963351</v>
      </c>
      <c r="W46" s="102">
        <f t="shared" si="14"/>
        <v>7092.75</v>
      </c>
      <c r="X46" s="102">
        <f t="shared" si="1"/>
        <v>181867.84</v>
      </c>
      <c r="Y46" s="103">
        <f t="shared" si="15"/>
        <v>127010.1392</v>
      </c>
      <c r="AA46">
        <v>4</v>
      </c>
      <c r="AB46" s="52">
        <f aca="true" t="shared" si="28" ref="AB46:AB72">$AB$11*((VLOOKUP($AB$10,$AA$36:$AI$44,7,0)*VLOOKUP($AB$10,$AA$36:$AI$44,5,0)*AA46*AA46)/(VLOOKUP($AB$10,$AA$36:$AI$44,9,0)/VLOOKUP($AB$10,$AA$36:$AI$44,8,0))/VLOOKUP($AB$10,$AA$36:$AI$44,8,0))+((VLOOKUP($AB$12,$AA$27:$AH$33,4,0)*VLOOKUP($AB$12,$AA$27:$AH$33,5,0)*AA46*AA46)/(((VLOOKUP($AB$12,$AA$27:$AH$33,7,0)/2000))/((VLOOKUP($AB$12,$AA$27:$AH$33,8,0))))/VLOOKUP($AB$12,$AA$27:$AH$33,8,0))*$AE$7</f>
        <v>95.3759162303665</v>
      </c>
      <c r="AC46" s="52">
        <f aca="true" t="shared" si="29" ref="AC46:AC72">$AB$11*(1.3+0.29/((VLOOKUP($AB$10,$AA$36:$AI$44,9,0))/VLOOKUP($AB$10,$AA$36:$AI$44,8,0)))+(1.3+0.29/((VLOOKUP($AB$12,$AA$27:$AH$33,7,0))/VLOOKUP($AB$12,$AA$27:$AH$33,8,0)))*$AE$7</f>
        <v>8199.20436963351</v>
      </c>
      <c r="AD46" s="52">
        <f aca="true" t="shared" si="30" ref="AD46:AD72">$AB$11*(VLOOKUP($AB$10,$AA$36:$AI$44,6,0)*AA46)+(VLOOKUP($AB$12,$AA$27:$AH$33,3,0)*AA46)*$AE$7</f>
        <v>1134.84</v>
      </c>
      <c r="AE46" s="3">
        <f aca="true" t="shared" si="31" ref="AE46:AE72">$AB$11*(20*$AB$7*(VLOOKUP($AB$10,$AA$36:$AI$44,9,0)))+(20*$AB$7*(VLOOKUP($AB$12,$AA$26:$AH$33,7,0)/2000))*$AE$7</f>
        <v>250068.27999999997</v>
      </c>
      <c r="AF46" s="5">
        <f aca="true" t="shared" si="32" ref="AF46:AF72">$AB$11*(0.8*$AB$6*(VLOOKUP($AB$10,$AA$36:$AI$44,9,0))/2000)+(0.8*$AB$6*((VLOOKUP($AB$12,$AA$27:$AH$33,7,0))/2000/2000))*$AE$7</f>
        <v>0</v>
      </c>
      <c r="AG46" s="24">
        <f>SUM(AB46:AF46)</f>
        <v>259497.70028586386</v>
      </c>
      <c r="AH46" s="53">
        <f>AB46/AG46</f>
        <v>0.00036754050662221653</v>
      </c>
      <c r="AI46" s="53">
        <f>AC46/AG46</f>
        <v>0.031596443284858514</v>
      </c>
      <c r="AJ46" s="53">
        <f>AD46/AG46</f>
        <v>0.004373217946632494</v>
      </c>
      <c r="AK46" s="53">
        <f>AE46/AG46</f>
        <v>0.9636627982618867</v>
      </c>
      <c r="AL46" s="53">
        <f>AF46/AG46</f>
        <v>0</v>
      </c>
      <c r="AM46">
        <f aca="true" t="shared" si="33" ref="AM46:AM72">(375*$AB$11*(VLOOKUP($AB$10,$AA$37:$AI$45,4,0))*0.83)/AA46</f>
        <v>1634062.5</v>
      </c>
      <c r="AN46" s="1">
        <f aca="true" t="shared" si="34" ref="AN46:AN72">AG46*AA46/308</f>
        <v>3370.1000037125177</v>
      </c>
    </row>
    <row r="47" spans="2:40" ht="12.75">
      <c r="B47" s="122">
        <f t="shared" si="16"/>
        <v>39224.994696061854</v>
      </c>
      <c r="C47">
        <v>0</v>
      </c>
      <c r="D47" s="2">
        <v>0.016</v>
      </c>
      <c r="E47">
        <v>0.2</v>
      </c>
      <c r="F47">
        <f t="shared" si="17"/>
        <v>16.000000000000007</v>
      </c>
      <c r="G47" s="1">
        <f t="shared" si="2"/>
        <v>836.8800000000001</v>
      </c>
      <c r="H47" s="1">
        <f t="shared" si="18"/>
        <v>16.895999999999958</v>
      </c>
      <c r="I47">
        <v>25</v>
      </c>
      <c r="J47" s="64">
        <f t="shared" si="26"/>
        <v>24.46391423481812</v>
      </c>
      <c r="K47" s="117">
        <f t="shared" si="4"/>
        <v>0.0003406377758418139</v>
      </c>
      <c r="L47" s="1">
        <f t="shared" si="5"/>
        <v>264389.4160973822</v>
      </c>
      <c r="M47" s="1">
        <f t="shared" si="6"/>
        <v>21460.17987803427</v>
      </c>
      <c r="N47" s="1">
        <f t="shared" si="27"/>
        <v>21000</v>
      </c>
      <c r="O47" s="74">
        <f t="shared" si="20"/>
        <v>1.0219133275254413</v>
      </c>
      <c r="P47" s="84">
        <f t="shared" si="8"/>
        <v>8</v>
      </c>
      <c r="Q47" s="1">
        <f t="shared" si="25"/>
        <v>9.596992441456926</v>
      </c>
      <c r="R47" s="1">
        <f t="shared" si="19"/>
        <v>666.7229429328924</v>
      </c>
      <c r="S47" s="1">
        <f t="shared" si="10"/>
        <v>47.98496220728463</v>
      </c>
      <c r="T47" s="60">
        <f t="shared" si="11"/>
        <v>19.193984882913853</v>
      </c>
      <c r="U47" s="101">
        <f t="shared" si="12"/>
        <v>3725.6217277486912</v>
      </c>
      <c r="V47" s="102">
        <f t="shared" si="13"/>
        <v>8199.20436963351</v>
      </c>
      <c r="W47" s="102">
        <f t="shared" si="14"/>
        <v>7092.75</v>
      </c>
      <c r="X47" s="102">
        <f t="shared" si="1"/>
        <v>181867.84</v>
      </c>
      <c r="Y47" s="103">
        <f t="shared" si="15"/>
        <v>63504</v>
      </c>
      <c r="AA47">
        <v>5</v>
      </c>
      <c r="AB47" s="52">
        <f t="shared" si="28"/>
        <v>149.02486910994764</v>
      </c>
      <c r="AC47" s="52">
        <f t="shared" si="29"/>
        <v>8199.20436963351</v>
      </c>
      <c r="AD47" s="52">
        <f t="shared" si="30"/>
        <v>1418.5499999999997</v>
      </c>
      <c r="AE47" s="3">
        <f t="shared" si="31"/>
        <v>250068.27999999997</v>
      </c>
      <c r="AF47" s="5">
        <f t="shared" si="32"/>
        <v>0</v>
      </c>
      <c r="AG47" s="24">
        <f aca="true" t="shared" si="35" ref="AG47:AG72">SUM(AB47:AF47)</f>
        <v>259835.05923874342</v>
      </c>
      <c r="AH47" s="53">
        <f aca="true" t="shared" si="36" ref="AH47:AH72">AB47/AG47</f>
        <v>0.0005735364178589141</v>
      </c>
      <c r="AI47" s="53">
        <f aca="true" t="shared" si="37" ref="AI47:AI72">AC47/AG47</f>
        <v>0.031555419786903585</v>
      </c>
      <c r="AJ47" s="53">
        <f aca="true" t="shared" si="38" ref="AJ47:AJ72">AD47/AG47</f>
        <v>0.0054594249296304465</v>
      </c>
      <c r="AK47" s="53">
        <f aca="true" t="shared" si="39" ref="AK47:AK72">AE47/AG47</f>
        <v>0.9624116188656071</v>
      </c>
      <c r="AL47" s="53">
        <f aca="true" t="shared" si="40" ref="AL47:AL72">AF47/AG47</f>
        <v>0</v>
      </c>
      <c r="AM47" s="1">
        <f t="shared" si="33"/>
        <v>1307250</v>
      </c>
      <c r="AN47" s="1">
        <f t="shared" si="34"/>
        <v>4218.101611018562</v>
      </c>
    </row>
    <row r="48" spans="2:40" ht="12.75">
      <c r="B48" s="122">
        <f t="shared" si="16"/>
        <v>39224.995701077445</v>
      </c>
      <c r="C48">
        <v>7</v>
      </c>
      <c r="D48" s="2">
        <v>0.016</v>
      </c>
      <c r="E48">
        <v>0.5</v>
      </c>
      <c r="F48">
        <f t="shared" si="17"/>
        <v>16.500000000000007</v>
      </c>
      <c r="G48" s="1">
        <f t="shared" si="2"/>
        <v>879.1200000000001</v>
      </c>
      <c r="H48" s="1">
        <f t="shared" si="18"/>
        <v>42.24000000000001</v>
      </c>
      <c r="I48">
        <v>25</v>
      </c>
      <c r="J48" s="64">
        <f t="shared" si="26"/>
        <v>20.729363374820718</v>
      </c>
      <c r="K48" s="117">
        <f t="shared" si="4"/>
        <v>0.0010050155885944333</v>
      </c>
      <c r="L48" s="1">
        <f t="shared" si="5"/>
        <v>312021.1596973822</v>
      </c>
      <c r="M48" s="1">
        <f t="shared" si="6"/>
        <v>25326.392832579724</v>
      </c>
      <c r="N48" s="1">
        <f t="shared" si="27"/>
        <v>21000</v>
      </c>
      <c r="O48" s="74">
        <f t="shared" si="20"/>
        <v>1.2060187063133203</v>
      </c>
      <c r="P48" s="84">
        <f t="shared" si="8"/>
        <v>8</v>
      </c>
      <c r="Q48" s="1">
        <f t="shared" si="25"/>
        <v>28.314907186824126</v>
      </c>
      <c r="R48" s="1">
        <f t="shared" si="19"/>
        <v>695.0378501197165</v>
      </c>
      <c r="S48" s="1">
        <f t="shared" si="10"/>
        <v>56.62981437364825</v>
      </c>
      <c r="T48" s="60">
        <f t="shared" si="11"/>
        <v>56.62981437364825</v>
      </c>
      <c r="U48" s="101">
        <f t="shared" si="12"/>
        <v>3725.6217277486912</v>
      </c>
      <c r="V48" s="102">
        <f t="shared" si="13"/>
        <v>8199.20436963351</v>
      </c>
      <c r="W48" s="102">
        <f t="shared" si="14"/>
        <v>7092.75</v>
      </c>
      <c r="X48" s="102">
        <f t="shared" si="1"/>
        <v>181867.84</v>
      </c>
      <c r="Y48" s="103">
        <f t="shared" si="15"/>
        <v>111135.7436</v>
      </c>
      <c r="AA48">
        <v>10</v>
      </c>
      <c r="AB48" s="52">
        <f t="shared" si="28"/>
        <v>596.0994764397906</v>
      </c>
      <c r="AC48" s="52">
        <f t="shared" si="29"/>
        <v>8199.20436963351</v>
      </c>
      <c r="AD48" s="52">
        <f t="shared" si="30"/>
        <v>2837.0999999999995</v>
      </c>
      <c r="AE48" s="3">
        <f t="shared" si="31"/>
        <v>250068.27999999997</v>
      </c>
      <c r="AF48" s="5">
        <f t="shared" si="32"/>
        <v>0</v>
      </c>
      <c r="AG48" s="24">
        <f t="shared" si="35"/>
        <v>261700.68384607328</v>
      </c>
      <c r="AH48" s="53">
        <f t="shared" si="36"/>
        <v>0.0022777910538071175</v>
      </c>
      <c r="AI48" s="53">
        <f t="shared" si="37"/>
        <v>0.0313304659702613</v>
      </c>
      <c r="AJ48" s="53">
        <f t="shared" si="38"/>
        <v>0.010841011029488638</v>
      </c>
      <c r="AK48" s="53">
        <f t="shared" si="39"/>
        <v>0.9555507319464429</v>
      </c>
      <c r="AL48" s="53">
        <f t="shared" si="40"/>
        <v>0</v>
      </c>
      <c r="AM48" s="1">
        <f t="shared" si="33"/>
        <v>653625</v>
      </c>
      <c r="AN48" s="1">
        <f t="shared" si="34"/>
        <v>8496.775449547833</v>
      </c>
    </row>
    <row r="49" spans="2:40" ht="12.75">
      <c r="B49" s="122">
        <f t="shared" si="16"/>
        <v>39224.99632604683</v>
      </c>
      <c r="C49">
        <v>0</v>
      </c>
      <c r="D49" s="2">
        <v>0.017</v>
      </c>
      <c r="E49">
        <v>0.3</v>
      </c>
      <c r="F49">
        <f t="shared" si="17"/>
        <v>16.800000000000008</v>
      </c>
      <c r="G49" s="1">
        <f t="shared" si="2"/>
        <v>906.0480000000001</v>
      </c>
      <c r="H49" s="1">
        <f t="shared" si="18"/>
        <v>26.927999999999997</v>
      </c>
      <c r="I49">
        <v>25</v>
      </c>
      <c r="J49" s="64">
        <f t="shared" si="26"/>
        <v>20.000979881192016</v>
      </c>
      <c r="K49" s="117">
        <f t="shared" si="4"/>
        <v>0.0006249693802129372</v>
      </c>
      <c r="L49" s="1">
        <f t="shared" si="5"/>
        <v>323384.1560973822</v>
      </c>
      <c r="M49" s="1">
        <f t="shared" si="6"/>
        <v>26248.71396894336</v>
      </c>
      <c r="N49" s="1">
        <f t="shared" si="27"/>
        <v>21000</v>
      </c>
      <c r="O49" s="74">
        <f t="shared" si="20"/>
        <v>1.2499387604258743</v>
      </c>
      <c r="P49" s="84">
        <f t="shared" si="8"/>
        <v>8</v>
      </c>
      <c r="Q49" s="1">
        <f t="shared" si="25"/>
        <v>17.607637330367208</v>
      </c>
      <c r="R49" s="1">
        <f t="shared" si="19"/>
        <v>712.6454874500837</v>
      </c>
      <c r="S49" s="1">
        <f t="shared" si="10"/>
        <v>58.692124434557364</v>
      </c>
      <c r="T49" s="60">
        <f t="shared" si="11"/>
        <v>35.215274660734416</v>
      </c>
      <c r="U49" s="101">
        <f t="shared" si="12"/>
        <v>3725.6217277486912</v>
      </c>
      <c r="V49" s="102">
        <f t="shared" si="13"/>
        <v>8199.20436963351</v>
      </c>
      <c r="W49" s="102">
        <f t="shared" si="14"/>
        <v>7092.75</v>
      </c>
      <c r="X49" s="102">
        <f t="shared" si="1"/>
        <v>193234.58</v>
      </c>
      <c r="Y49" s="103">
        <f t="shared" si="15"/>
        <v>111132</v>
      </c>
      <c r="AA49">
        <v>15</v>
      </c>
      <c r="AB49" s="52">
        <f t="shared" si="28"/>
        <v>1341.223821989529</v>
      </c>
      <c r="AC49" s="52">
        <f t="shared" si="29"/>
        <v>8199.20436963351</v>
      </c>
      <c r="AD49" s="52">
        <f t="shared" si="30"/>
        <v>4255.65</v>
      </c>
      <c r="AE49" s="3">
        <f t="shared" si="31"/>
        <v>250068.27999999997</v>
      </c>
      <c r="AF49" s="5">
        <f t="shared" si="32"/>
        <v>0</v>
      </c>
      <c r="AG49" s="24">
        <f t="shared" si="35"/>
        <v>263864.358191623</v>
      </c>
      <c r="AH49" s="53">
        <f t="shared" si="36"/>
        <v>0.005083004886228356</v>
      </c>
      <c r="AI49" s="53">
        <f t="shared" si="37"/>
        <v>0.031073557739386314</v>
      </c>
      <c r="AJ49" s="53">
        <f t="shared" si="38"/>
        <v>0.01612817293387336</v>
      </c>
      <c r="AK49" s="53">
        <f t="shared" si="39"/>
        <v>0.947715264440512</v>
      </c>
      <c r="AL49" s="53">
        <f t="shared" si="40"/>
        <v>0</v>
      </c>
      <c r="AM49" s="1">
        <f t="shared" si="33"/>
        <v>435750</v>
      </c>
      <c r="AN49" s="1">
        <f t="shared" si="34"/>
        <v>12850.536924916705</v>
      </c>
    </row>
    <row r="50" spans="2:40" ht="12.75">
      <c r="B50" s="122">
        <f t="shared" si="16"/>
        <v>39224.99670178744</v>
      </c>
      <c r="C50">
        <v>5</v>
      </c>
      <c r="D50" s="2">
        <v>0.017</v>
      </c>
      <c r="E50">
        <v>0.2</v>
      </c>
      <c r="F50">
        <f t="shared" si="17"/>
        <v>17.000000000000007</v>
      </c>
      <c r="G50" s="1">
        <f t="shared" si="2"/>
        <v>924.0000000000001</v>
      </c>
      <c r="H50" s="1">
        <f t="shared" si="18"/>
        <v>17.951999999999998</v>
      </c>
      <c r="I50">
        <v>25</v>
      </c>
      <c r="J50" s="64">
        <f t="shared" si="26"/>
        <v>22.178420862282522</v>
      </c>
      <c r="K50" s="117">
        <f t="shared" si="4"/>
        <v>0.0003757406077321457</v>
      </c>
      <c r="L50" s="1">
        <f t="shared" si="5"/>
        <v>291634.8300973822</v>
      </c>
      <c r="M50" s="1">
        <f t="shared" si="6"/>
        <v>23671.658287125178</v>
      </c>
      <c r="N50" s="1">
        <f t="shared" si="27"/>
        <v>21000</v>
      </c>
      <c r="O50" s="74">
        <f t="shared" si="20"/>
        <v>1.127221823196437</v>
      </c>
      <c r="P50" s="84">
        <f t="shared" si="8"/>
        <v>8</v>
      </c>
      <c r="Q50" s="1">
        <f t="shared" si="25"/>
        <v>10.58596558600238</v>
      </c>
      <c r="R50" s="1">
        <f t="shared" si="19"/>
        <v>723.2314530360861</v>
      </c>
      <c r="S50" s="1">
        <f t="shared" si="10"/>
        <v>52.9298279300119</v>
      </c>
      <c r="T50" s="60">
        <f t="shared" si="11"/>
        <v>21.17193117200476</v>
      </c>
      <c r="U50" s="101">
        <f t="shared" si="12"/>
        <v>3725.6217277486912</v>
      </c>
      <c r="V50" s="102">
        <f t="shared" si="13"/>
        <v>8199.20436963351</v>
      </c>
      <c r="W50" s="102">
        <f t="shared" si="14"/>
        <v>7092.75</v>
      </c>
      <c r="X50" s="102">
        <f t="shared" si="1"/>
        <v>193234.58</v>
      </c>
      <c r="Y50" s="103">
        <f t="shared" si="15"/>
        <v>79382.674</v>
      </c>
      <c r="AA50">
        <v>20</v>
      </c>
      <c r="AB50" s="52">
        <f t="shared" si="28"/>
        <v>2384.3979057591623</v>
      </c>
      <c r="AC50" s="52">
        <f t="shared" si="29"/>
        <v>8199.20436963351</v>
      </c>
      <c r="AD50" s="52">
        <f t="shared" si="30"/>
        <v>5674.199999999999</v>
      </c>
      <c r="AE50" s="3">
        <f t="shared" si="31"/>
        <v>250068.27999999997</v>
      </c>
      <c r="AF50" s="5">
        <f t="shared" si="32"/>
        <v>0</v>
      </c>
      <c r="AG50" s="24">
        <f t="shared" si="35"/>
        <v>266326.08227539266</v>
      </c>
      <c r="AH50" s="53">
        <f t="shared" si="36"/>
        <v>0.008952926748246881</v>
      </c>
      <c r="AI50" s="53">
        <f t="shared" si="37"/>
        <v>0.030786336432325763</v>
      </c>
      <c r="AJ50" s="53">
        <f t="shared" si="38"/>
        <v>0.021305461153191263</v>
      </c>
      <c r="AK50" s="53">
        <f t="shared" si="39"/>
        <v>0.938955275666236</v>
      </c>
      <c r="AL50" s="53">
        <f t="shared" si="40"/>
        <v>0</v>
      </c>
      <c r="AM50" s="1">
        <f t="shared" si="33"/>
        <v>326812.5</v>
      </c>
      <c r="AN50" s="1">
        <f t="shared" si="34"/>
        <v>17293.90144645407</v>
      </c>
    </row>
    <row r="51" spans="2:40" ht="12.75">
      <c r="B51" s="122">
        <f t="shared" si="16"/>
        <v>39224.9970775246</v>
      </c>
      <c r="C51">
        <v>0</v>
      </c>
      <c r="D51" s="2">
        <v>0.017</v>
      </c>
      <c r="E51">
        <v>0.2</v>
      </c>
      <c r="F51">
        <f t="shared" si="17"/>
        <v>17.200000000000006</v>
      </c>
      <c r="G51" s="1">
        <f t="shared" si="2"/>
        <v>941.9520000000001</v>
      </c>
      <c r="H51" s="1">
        <f t="shared" si="18"/>
        <v>17.951999999999998</v>
      </c>
      <c r="I51">
        <v>25</v>
      </c>
      <c r="J51" s="64">
        <f t="shared" si="26"/>
        <v>22.178624218106446</v>
      </c>
      <c r="K51" s="117">
        <f t="shared" si="4"/>
        <v>0.0003757371625662006</v>
      </c>
      <c r="L51" s="1">
        <f t="shared" si="5"/>
        <v>291632.1560973822</v>
      </c>
      <c r="M51" s="1">
        <f t="shared" si="6"/>
        <v>23671.441241670633</v>
      </c>
      <c r="N51" s="1">
        <f t="shared" si="27"/>
        <v>21000</v>
      </c>
      <c r="O51" s="74">
        <f t="shared" si="20"/>
        <v>1.1272114876986015</v>
      </c>
      <c r="P51" s="84">
        <f t="shared" si="8"/>
        <v>8</v>
      </c>
      <c r="Q51" s="1">
        <f t="shared" si="25"/>
        <v>10.585868523275108</v>
      </c>
      <c r="R51" s="1">
        <f t="shared" si="19"/>
        <v>733.8173215593612</v>
      </c>
      <c r="S51" s="1">
        <f t="shared" si="10"/>
        <v>52.929342616375536</v>
      </c>
      <c r="T51" s="60">
        <f t="shared" si="11"/>
        <v>21.171737046550216</v>
      </c>
      <c r="U51" s="101">
        <f t="shared" si="12"/>
        <v>3725.6217277486912</v>
      </c>
      <c r="V51" s="102">
        <f t="shared" si="13"/>
        <v>8199.20436963351</v>
      </c>
      <c r="W51" s="102">
        <f t="shared" si="14"/>
        <v>7092.75</v>
      </c>
      <c r="X51" s="102">
        <f t="shared" si="1"/>
        <v>193234.58</v>
      </c>
      <c r="Y51" s="103">
        <f t="shared" si="15"/>
        <v>79380</v>
      </c>
      <c r="AA51">
        <v>25</v>
      </c>
      <c r="AB51" s="52">
        <f t="shared" si="28"/>
        <v>3725.6217277486912</v>
      </c>
      <c r="AC51" s="52">
        <f t="shared" si="29"/>
        <v>8199.20436963351</v>
      </c>
      <c r="AD51" s="52">
        <f t="shared" si="30"/>
        <v>7092.75</v>
      </c>
      <c r="AE51" s="3">
        <f t="shared" si="31"/>
        <v>250068.27999999997</v>
      </c>
      <c r="AF51" s="5">
        <f t="shared" si="32"/>
        <v>0</v>
      </c>
      <c r="AG51" s="24">
        <f t="shared" si="35"/>
        <v>269085.85609738214</v>
      </c>
      <c r="AH51" s="53">
        <f t="shared" si="36"/>
        <v>0.01384547587072131</v>
      </c>
      <c r="AI51" s="53">
        <f t="shared" si="37"/>
        <v>0.030470588415714494</v>
      </c>
      <c r="AJ51" s="53">
        <f t="shared" si="38"/>
        <v>0.026358687531436564</v>
      </c>
      <c r="AK51" s="53">
        <f t="shared" si="39"/>
        <v>0.9293252481821277</v>
      </c>
      <c r="AL51" s="53">
        <f t="shared" si="40"/>
        <v>0</v>
      </c>
      <c r="AM51" s="1">
        <f t="shared" si="33"/>
        <v>261450</v>
      </c>
      <c r="AN51" s="1">
        <f t="shared" si="34"/>
        <v>21841.384423488813</v>
      </c>
    </row>
    <row r="52" spans="2:40" ht="12.75">
      <c r="B52" s="122">
        <f t="shared" si="16"/>
        <v>39224.99811759052</v>
      </c>
      <c r="C52">
        <v>0</v>
      </c>
      <c r="D52" s="2">
        <v>0.022</v>
      </c>
      <c r="E52">
        <v>0.6</v>
      </c>
      <c r="F52">
        <f t="shared" si="17"/>
        <v>17.800000000000008</v>
      </c>
      <c r="G52" s="1">
        <f t="shared" si="2"/>
        <v>1011.6480000000001</v>
      </c>
      <c r="H52" s="1">
        <f t="shared" si="18"/>
        <v>69.69600000000003</v>
      </c>
      <c r="I52">
        <v>25</v>
      </c>
      <c r="J52" s="64">
        <f t="shared" si="26"/>
        <v>24.036937852501737</v>
      </c>
      <c r="K52" s="117">
        <f t="shared" si="4"/>
        <v>0.0010400659249280386</v>
      </c>
      <c r="L52" s="1">
        <f t="shared" si="5"/>
        <v>269085.85609738214</v>
      </c>
      <c r="M52" s="1">
        <f t="shared" si="6"/>
        <v>21841.384423488813</v>
      </c>
      <c r="N52" s="1">
        <f t="shared" si="27"/>
        <v>21000</v>
      </c>
      <c r="O52" s="74">
        <f t="shared" si="20"/>
        <v>1.0400659249280386</v>
      </c>
      <c r="P52" s="84">
        <f t="shared" si="8"/>
        <v>8</v>
      </c>
      <c r="Q52" s="1">
        <f t="shared" si="25"/>
        <v>29.30240134255259</v>
      </c>
      <c r="R52" s="1">
        <f t="shared" si="19"/>
        <v>763.1197229019137</v>
      </c>
      <c r="S52" s="1">
        <f t="shared" si="10"/>
        <v>48.837335570920985</v>
      </c>
      <c r="T52" s="60">
        <f t="shared" si="11"/>
        <v>58.60480268510518</v>
      </c>
      <c r="U52" s="101">
        <f t="shared" si="12"/>
        <v>3725.6217277486912</v>
      </c>
      <c r="V52" s="102">
        <f t="shared" si="13"/>
        <v>8199.20436963351</v>
      </c>
      <c r="W52" s="102">
        <f t="shared" si="14"/>
        <v>7092.75</v>
      </c>
      <c r="X52" s="102">
        <f t="shared" si="1"/>
        <v>250068.27999999997</v>
      </c>
      <c r="Y52" s="103">
        <f t="shared" si="15"/>
        <v>0</v>
      </c>
      <c r="AA52">
        <v>30</v>
      </c>
      <c r="AB52" s="52">
        <f t="shared" si="28"/>
        <v>5364.895287958116</v>
      </c>
      <c r="AC52" s="52">
        <f t="shared" si="29"/>
        <v>8199.20436963351</v>
      </c>
      <c r="AD52" s="52">
        <f t="shared" si="30"/>
        <v>8511.3</v>
      </c>
      <c r="AE52" s="3">
        <f t="shared" si="31"/>
        <v>250068.27999999997</v>
      </c>
      <c r="AF52" s="5">
        <f t="shared" si="32"/>
        <v>0</v>
      </c>
      <c r="AG52" s="24">
        <f t="shared" si="35"/>
        <v>272143.6796575916</v>
      </c>
      <c r="AH52" s="53">
        <f t="shared" si="36"/>
        <v>0.0197134664112287</v>
      </c>
      <c r="AI52" s="53">
        <f t="shared" si="37"/>
        <v>0.030128218961210724</v>
      </c>
      <c r="AJ52" s="53">
        <f t="shared" si="38"/>
        <v>0.03127502358573541</v>
      </c>
      <c r="AK52" s="53">
        <f t="shared" si="39"/>
        <v>0.9188832910418251</v>
      </c>
      <c r="AL52" s="53">
        <f t="shared" si="40"/>
        <v>0</v>
      </c>
      <c r="AM52" s="1">
        <f t="shared" si="33"/>
        <v>217875</v>
      </c>
      <c r="AN52" s="1">
        <f t="shared" si="34"/>
        <v>26507.501265349834</v>
      </c>
    </row>
    <row r="53" spans="2:40" ht="12.75">
      <c r="B53" s="122">
        <f t="shared" si="16"/>
        <v>39224.99879103774</v>
      </c>
      <c r="C53">
        <v>5</v>
      </c>
      <c r="D53" s="2">
        <v>0.022</v>
      </c>
      <c r="E53">
        <v>0.3</v>
      </c>
      <c r="F53">
        <f t="shared" si="17"/>
        <v>18.10000000000001</v>
      </c>
      <c r="G53" s="1">
        <f t="shared" si="2"/>
        <v>1046.496</v>
      </c>
      <c r="H53" s="1">
        <f t="shared" si="18"/>
        <v>34.847999999999956</v>
      </c>
      <c r="I53">
        <v>25</v>
      </c>
      <c r="J53" s="64">
        <f t="shared" si="26"/>
        <v>18.561216986200932</v>
      </c>
      <c r="K53" s="117">
        <f t="shared" si="4"/>
        <v>0.0006734472211220279</v>
      </c>
      <c r="L53" s="1">
        <f t="shared" si="5"/>
        <v>348468.53009738214</v>
      </c>
      <c r="M53" s="1">
        <f t="shared" si="6"/>
        <v>28284.783287125174</v>
      </c>
      <c r="N53" s="1">
        <f t="shared" si="27"/>
        <v>21000</v>
      </c>
      <c r="O53" s="74">
        <f t="shared" si="20"/>
        <v>1.3468944422440559</v>
      </c>
      <c r="P53" s="84">
        <f t="shared" si="8"/>
        <v>8</v>
      </c>
      <c r="Q53" s="1">
        <f t="shared" si="25"/>
        <v>18.973432629003565</v>
      </c>
      <c r="R53" s="1">
        <f t="shared" si="19"/>
        <v>782.0931555309173</v>
      </c>
      <c r="S53" s="1">
        <f t="shared" si="10"/>
        <v>63.244775430011885</v>
      </c>
      <c r="T53" s="60">
        <f t="shared" si="11"/>
        <v>37.94686525800713</v>
      </c>
      <c r="U53" s="101">
        <f t="shared" si="12"/>
        <v>3725.6217277486912</v>
      </c>
      <c r="V53" s="102">
        <f t="shared" si="13"/>
        <v>8199.20436963351</v>
      </c>
      <c r="W53" s="102">
        <f t="shared" si="14"/>
        <v>7092.75</v>
      </c>
      <c r="X53" s="102">
        <f t="shared" si="1"/>
        <v>250068.27999999997</v>
      </c>
      <c r="Y53" s="103">
        <f t="shared" si="15"/>
        <v>79382.674</v>
      </c>
      <c r="AA53">
        <v>35</v>
      </c>
      <c r="AB53" s="52">
        <f t="shared" si="28"/>
        <v>7302.218586387436</v>
      </c>
      <c r="AC53" s="52">
        <f t="shared" si="29"/>
        <v>8199.20436963351</v>
      </c>
      <c r="AD53" s="52">
        <f t="shared" si="30"/>
        <v>9929.85</v>
      </c>
      <c r="AE53" s="3">
        <f t="shared" si="31"/>
        <v>250068.27999999997</v>
      </c>
      <c r="AF53" s="5">
        <f t="shared" si="32"/>
        <v>0</v>
      </c>
      <c r="AG53" s="24">
        <f t="shared" si="35"/>
        <v>275499.5529560209</v>
      </c>
      <c r="AH53" s="53">
        <f t="shared" si="36"/>
        <v>0.02650537363141608</v>
      </c>
      <c r="AI53" s="53">
        <f t="shared" si="37"/>
        <v>0.029761225677714186</v>
      </c>
      <c r="AJ53" s="53">
        <f t="shared" si="38"/>
        <v>0.036043071189974456</v>
      </c>
      <c r="AK53" s="53">
        <f t="shared" si="39"/>
        <v>0.9076903295008952</v>
      </c>
      <c r="AL53" s="53">
        <f t="shared" si="40"/>
        <v>0</v>
      </c>
      <c r="AM53" s="1">
        <f t="shared" si="33"/>
        <v>186750</v>
      </c>
      <c r="AN53" s="1">
        <f t="shared" si="34"/>
        <v>31306.767381366015</v>
      </c>
    </row>
    <row r="54" spans="2:40" ht="12.75">
      <c r="B54" s="122">
        <f t="shared" si="16"/>
        <v>39224.999791037735</v>
      </c>
      <c r="C54">
        <v>0</v>
      </c>
      <c r="D54" s="2">
        <v>-0.022</v>
      </c>
      <c r="E54">
        <v>0.6</v>
      </c>
      <c r="F54">
        <f>E54+F53</f>
        <v>18.70000000000001</v>
      </c>
      <c r="G54" s="1">
        <f t="shared" si="2"/>
        <v>976.8000000000001</v>
      </c>
      <c r="H54" s="1">
        <f t="shared" si="18"/>
        <v>0</v>
      </c>
      <c r="I54">
        <v>25</v>
      </c>
      <c r="J54" s="64">
        <f t="shared" si="26"/>
        <v>25</v>
      </c>
      <c r="K54" s="117">
        <f t="shared" si="4"/>
        <v>0.001</v>
      </c>
      <c r="L54" s="1">
        <f t="shared" si="5"/>
        <v>-151670.70390261777</v>
      </c>
      <c r="M54" s="1">
        <f t="shared" si="6"/>
        <v>-12310.933758329364</v>
      </c>
      <c r="N54" s="1">
        <f t="shared" si="27"/>
        <v>21000</v>
      </c>
      <c r="O54" s="74">
        <f t="shared" si="20"/>
        <v>-0.5862349408728268</v>
      </c>
      <c r="P54" s="84">
        <f t="shared" si="8"/>
        <v>1</v>
      </c>
      <c r="Q54" s="1">
        <f>IF($AB$11*E54/J54*VLOOKUP($AB$10,$AA$34:$AQ$44,MATCH(P54,$AA$34:$AQ$34,),0)&gt;0,$AB$11*E54/J54*VLOOKUP($AB$10,$AA$34:$AQ$44,MATCH(P54,$AA$34:$AQ$34,),0),0)</f>
        <v>3.5217</v>
      </c>
      <c r="R54" s="1">
        <f t="shared" si="19"/>
        <v>785.6148555309173</v>
      </c>
      <c r="S54" s="1">
        <f t="shared" si="10"/>
        <v>5.8695</v>
      </c>
      <c r="T54" s="60">
        <f t="shared" si="11"/>
        <v>7.0434</v>
      </c>
      <c r="U54" s="101">
        <f t="shared" si="12"/>
        <v>3725.6217277486912</v>
      </c>
      <c r="V54" s="102">
        <f t="shared" si="13"/>
        <v>8199.20436963351</v>
      </c>
      <c r="W54" s="102">
        <f t="shared" si="14"/>
        <v>7092.75</v>
      </c>
      <c r="X54" s="102">
        <f t="shared" si="1"/>
        <v>-250068.27999999997</v>
      </c>
      <c r="Y54" s="103">
        <f t="shared" si="15"/>
        <v>79380</v>
      </c>
      <c r="AA54">
        <v>40</v>
      </c>
      <c r="AB54" s="52">
        <f t="shared" si="28"/>
        <v>9537.59162303665</v>
      </c>
      <c r="AC54" s="52">
        <f t="shared" si="29"/>
        <v>8199.20436963351</v>
      </c>
      <c r="AD54" s="52">
        <f t="shared" si="30"/>
        <v>11348.399999999998</v>
      </c>
      <c r="AE54" s="3">
        <f t="shared" si="31"/>
        <v>250068.27999999997</v>
      </c>
      <c r="AF54" s="5">
        <f t="shared" si="32"/>
        <v>0</v>
      </c>
      <c r="AG54" s="24">
        <f t="shared" si="35"/>
        <v>279153.4759926701</v>
      </c>
      <c r="AH54" s="53">
        <f t="shared" si="36"/>
        <v>0.03416612166164495</v>
      </c>
      <c r="AI54" s="53">
        <f t="shared" si="37"/>
        <v>0.029371672125797926</v>
      </c>
      <c r="AJ54" s="53">
        <f t="shared" si="38"/>
        <v>0.04065290593156712</v>
      </c>
      <c r="AK54" s="53">
        <f t="shared" si="39"/>
        <v>0.89580930028099</v>
      </c>
      <c r="AL54" s="53">
        <f t="shared" si="40"/>
        <v>0</v>
      </c>
      <c r="AM54" s="1">
        <f t="shared" si="33"/>
        <v>163406.25</v>
      </c>
      <c r="AN54" s="1">
        <f t="shared" si="34"/>
        <v>36253.698180866246</v>
      </c>
    </row>
    <row r="55" spans="2:40" ht="12.75">
      <c r="B55" s="122">
        <f t="shared" si="16"/>
        <v>39224.9999577044</v>
      </c>
      <c r="C55">
        <v>6</v>
      </c>
      <c r="D55" s="2">
        <v>-0.0186</v>
      </c>
      <c r="E55">
        <v>0.1</v>
      </c>
      <c r="F55">
        <f t="shared" si="17"/>
        <v>18.80000000000001</v>
      </c>
      <c r="G55" s="1">
        <f t="shared" si="2"/>
        <v>966.9792000000001</v>
      </c>
      <c r="H55" s="1">
        <f t="shared" si="18"/>
        <v>0</v>
      </c>
      <c r="I55">
        <v>25</v>
      </c>
      <c r="J55" s="64">
        <f t="shared" si="26"/>
        <v>25</v>
      </c>
      <c r="K55" s="117">
        <f t="shared" si="4"/>
        <v>0.00016666666666666666</v>
      </c>
      <c r="L55" s="1">
        <f t="shared" si="5"/>
        <v>-97144.57910261778</v>
      </c>
      <c r="M55" s="1">
        <f t="shared" si="6"/>
        <v>-7885.111940147547</v>
      </c>
      <c r="N55" s="1">
        <f t="shared" si="27"/>
        <v>21000</v>
      </c>
      <c r="O55" s="74">
        <f t="shared" si="20"/>
        <v>-0.375481520959407</v>
      </c>
      <c r="P55" s="84">
        <f t="shared" si="8"/>
        <v>1</v>
      </c>
      <c r="Q55" s="1">
        <f aca="true" t="shared" si="41" ref="Q55:Q73">IF($AB$11*E55/J55*VLOOKUP($AB$10,$AA$34:$AQ$44,MATCH(P55,$AA$34:$AQ$34,),0)&gt;0,$AB$11*E55/J55*VLOOKUP($AB$10,$AA$34:$AQ$44,MATCH(P55,$AA$34:$AQ$34,),0),0)</f>
        <v>0.5869500000000001</v>
      </c>
      <c r="R55" s="1">
        <f t="shared" si="19"/>
        <v>786.2018055309173</v>
      </c>
      <c r="S55" s="1">
        <f t="shared" si="10"/>
        <v>5.8695</v>
      </c>
      <c r="T55" s="60">
        <f t="shared" si="11"/>
        <v>1.1739000000000002</v>
      </c>
      <c r="U55" s="101">
        <f t="shared" si="12"/>
        <v>3725.6217277486912</v>
      </c>
      <c r="V55" s="102">
        <f t="shared" si="13"/>
        <v>8199.20436963351</v>
      </c>
      <c r="W55" s="102">
        <f t="shared" si="14"/>
        <v>7092.75</v>
      </c>
      <c r="X55" s="102">
        <f t="shared" si="1"/>
        <v>-211421.36399999997</v>
      </c>
      <c r="Y55" s="103">
        <f t="shared" si="15"/>
        <v>95259.2088</v>
      </c>
      <c r="AA55">
        <v>45</v>
      </c>
      <c r="AB55" s="52">
        <f t="shared" si="28"/>
        <v>12071.01439790576</v>
      </c>
      <c r="AC55" s="52">
        <f t="shared" si="29"/>
        <v>8199.20436963351</v>
      </c>
      <c r="AD55" s="52">
        <f t="shared" si="30"/>
        <v>12766.95</v>
      </c>
      <c r="AE55" s="3">
        <f t="shared" si="31"/>
        <v>250068.27999999997</v>
      </c>
      <c r="AF55" s="5">
        <f t="shared" si="32"/>
        <v>0</v>
      </c>
      <c r="AG55" s="24">
        <f t="shared" si="35"/>
        <v>283105.44876753923</v>
      </c>
      <c r="AH55" s="53">
        <f t="shared" si="36"/>
        <v>0.042637873804461435</v>
      </c>
      <c r="AI55" s="53">
        <f t="shared" si="37"/>
        <v>0.028961662183923417</v>
      </c>
      <c r="AJ55" s="53">
        <f t="shared" si="38"/>
        <v>0.04509609424890679</v>
      </c>
      <c r="AK55" s="53">
        <f t="shared" si="39"/>
        <v>0.8833043697627084</v>
      </c>
      <c r="AL55" s="53">
        <f t="shared" si="40"/>
        <v>0</v>
      </c>
      <c r="AM55" s="1">
        <f t="shared" si="33"/>
        <v>145250</v>
      </c>
      <c r="AN55" s="1">
        <f t="shared" si="34"/>
        <v>41362.80907317944</v>
      </c>
    </row>
    <row r="56" spans="2:40" ht="12.75">
      <c r="B56" s="122">
        <f t="shared" si="16"/>
        <v>39225.00077123669</v>
      </c>
      <c r="C56">
        <v>6</v>
      </c>
      <c r="D56" s="2">
        <v>0.0186</v>
      </c>
      <c r="E56">
        <v>0.3</v>
      </c>
      <c r="F56">
        <f t="shared" si="17"/>
        <v>19.100000000000012</v>
      </c>
      <c r="G56" s="1">
        <f t="shared" si="2"/>
        <v>996.4416000000001</v>
      </c>
      <c r="H56" s="1">
        <f t="shared" si="18"/>
        <v>29.462400000000002</v>
      </c>
      <c r="I56">
        <v>25</v>
      </c>
      <c r="J56" s="64">
        <f t="shared" si="26"/>
        <v>15.365093839654095</v>
      </c>
      <c r="K56" s="117">
        <f t="shared" si="4"/>
        <v>0.0008135322914683483</v>
      </c>
      <c r="L56" s="1">
        <f t="shared" si="5"/>
        <v>420954.1488973822</v>
      </c>
      <c r="M56" s="1">
        <f t="shared" si="6"/>
        <v>34168.35624167063</v>
      </c>
      <c r="N56" s="1">
        <f t="shared" si="27"/>
        <v>21000</v>
      </c>
      <c r="O56" s="74">
        <f t="shared" si="20"/>
        <v>1.6270645829366968</v>
      </c>
      <c r="P56" s="84">
        <f t="shared" si="8"/>
        <v>8</v>
      </c>
      <c r="Q56" s="1">
        <f t="shared" si="41"/>
        <v>22.92013336691266</v>
      </c>
      <c r="R56" s="1">
        <f t="shared" si="19"/>
        <v>809.12193889783</v>
      </c>
      <c r="S56" s="1">
        <f t="shared" si="10"/>
        <v>76.40044455637553</v>
      </c>
      <c r="T56" s="60">
        <f t="shared" si="11"/>
        <v>45.84026673382532</v>
      </c>
      <c r="U56" s="101">
        <f t="shared" si="12"/>
        <v>3725.6217277486912</v>
      </c>
      <c r="V56" s="102">
        <f t="shared" si="13"/>
        <v>8199.20436963351</v>
      </c>
      <c r="W56" s="102">
        <f t="shared" si="14"/>
        <v>7092.75</v>
      </c>
      <c r="X56" s="102">
        <f t="shared" si="1"/>
        <v>211421.36399999997</v>
      </c>
      <c r="Y56" s="103">
        <f t="shared" si="15"/>
        <v>190515.2088</v>
      </c>
      <c r="AA56">
        <v>50</v>
      </c>
      <c r="AB56" s="52">
        <f t="shared" si="28"/>
        <v>14902.486910994765</v>
      </c>
      <c r="AC56" s="52">
        <f t="shared" si="29"/>
        <v>8199.20436963351</v>
      </c>
      <c r="AD56" s="52">
        <f t="shared" si="30"/>
        <v>14185.5</v>
      </c>
      <c r="AE56" s="3">
        <f t="shared" si="31"/>
        <v>250068.27999999997</v>
      </c>
      <c r="AF56" s="5">
        <f t="shared" si="32"/>
        <v>0</v>
      </c>
      <c r="AG56" s="24">
        <f t="shared" si="35"/>
        <v>287355.47128062823</v>
      </c>
      <c r="AH56" s="53">
        <f t="shared" si="36"/>
        <v>0.05186080795531872</v>
      </c>
      <c r="AI56" s="53">
        <f t="shared" si="37"/>
        <v>0.02853331566332438</v>
      </c>
      <c r="AJ56" s="53">
        <f t="shared" si="38"/>
        <v>0.04936568611963749</v>
      </c>
      <c r="AK56" s="53">
        <f t="shared" si="39"/>
        <v>0.8702401902617194</v>
      </c>
      <c r="AL56" s="53">
        <f t="shared" si="40"/>
        <v>0</v>
      </c>
      <c r="AM56" s="1">
        <f t="shared" si="33"/>
        <v>130725</v>
      </c>
      <c r="AN56" s="1">
        <f t="shared" si="34"/>
        <v>46648.61546763445</v>
      </c>
    </row>
    <row r="57" spans="2:40" ht="12.75">
      <c r="B57" s="122">
        <f t="shared" si="16"/>
        <v>39225.00138749152</v>
      </c>
      <c r="C57">
        <v>0</v>
      </c>
      <c r="D57" s="2">
        <v>0.018</v>
      </c>
      <c r="E57">
        <v>0.3</v>
      </c>
      <c r="F57">
        <f t="shared" si="17"/>
        <v>19.400000000000013</v>
      </c>
      <c r="G57" s="1">
        <f t="shared" si="2"/>
        <v>1024.9536</v>
      </c>
      <c r="H57" s="1">
        <f t="shared" si="18"/>
        <v>28.511999999999944</v>
      </c>
      <c r="I57">
        <v>25</v>
      </c>
      <c r="J57" s="64">
        <f t="shared" si="26"/>
        <v>20.28381687978573</v>
      </c>
      <c r="K57" s="117">
        <f t="shared" si="4"/>
        <v>0.0006162548239358807</v>
      </c>
      <c r="L57" s="1">
        <f t="shared" si="5"/>
        <v>318874.8960973822</v>
      </c>
      <c r="M57" s="1">
        <f t="shared" si="6"/>
        <v>25882.702605306997</v>
      </c>
      <c r="N57" s="1">
        <f t="shared" si="27"/>
        <v>21000</v>
      </c>
      <c r="O57" s="74">
        <f t="shared" si="20"/>
        <v>1.2325096478717616</v>
      </c>
      <c r="P57" s="84">
        <f t="shared" si="8"/>
        <v>8</v>
      </c>
      <c r="Q57" s="1">
        <f t="shared" si="41"/>
        <v>17.36211690763993</v>
      </c>
      <c r="R57" s="1">
        <f t="shared" si="19"/>
        <v>826.4840558054699</v>
      </c>
      <c r="S57" s="1">
        <f t="shared" si="10"/>
        <v>57.87372302546643</v>
      </c>
      <c r="T57" s="60">
        <f t="shared" si="11"/>
        <v>34.72423381527986</v>
      </c>
      <c r="U57" s="101">
        <f t="shared" si="12"/>
        <v>3725.6217277486912</v>
      </c>
      <c r="V57" s="102">
        <f t="shared" si="13"/>
        <v>8199.20436963351</v>
      </c>
      <c r="W57" s="102">
        <f t="shared" si="14"/>
        <v>7092.75</v>
      </c>
      <c r="X57" s="102">
        <f t="shared" si="1"/>
        <v>204601.32</v>
      </c>
      <c r="Y57" s="103">
        <f t="shared" si="15"/>
        <v>95256</v>
      </c>
      <c r="AA57">
        <v>55</v>
      </c>
      <c r="AB57" s="52">
        <f t="shared" si="28"/>
        <v>18032.009162303668</v>
      </c>
      <c r="AC57" s="52">
        <f t="shared" si="29"/>
        <v>8199.20436963351</v>
      </c>
      <c r="AD57" s="52">
        <f t="shared" si="30"/>
        <v>15604.05</v>
      </c>
      <c r="AE57" s="3">
        <f t="shared" si="31"/>
        <v>250068.27999999997</v>
      </c>
      <c r="AF57" s="5">
        <f t="shared" si="32"/>
        <v>0</v>
      </c>
      <c r="AG57" s="24">
        <f t="shared" si="35"/>
        <v>291903.5435319372</v>
      </c>
      <c r="AH57" s="53">
        <f t="shared" si="36"/>
        <v>0.06177386181792201</v>
      </c>
      <c r="AI57" s="53">
        <f t="shared" si="37"/>
        <v>0.02808874558501697</v>
      </c>
      <c r="AJ57" s="53">
        <f t="shared" si="38"/>
        <v>0.0534561855988321</v>
      </c>
      <c r="AK57" s="53">
        <f t="shared" si="39"/>
        <v>0.8566812069982288</v>
      </c>
      <c r="AL57" s="53">
        <f t="shared" si="40"/>
        <v>0</v>
      </c>
      <c r="AM57" s="1">
        <f t="shared" si="33"/>
        <v>118840.90909090909</v>
      </c>
      <c r="AN57" s="1">
        <f t="shared" si="34"/>
        <v>52125.63277356021</v>
      </c>
    </row>
    <row r="58" spans="2:40" ht="12.75">
      <c r="B58" s="122">
        <f t="shared" si="16"/>
        <v>39225.00205415818</v>
      </c>
      <c r="C58">
        <v>0</v>
      </c>
      <c r="D58" s="2">
        <v>0.018</v>
      </c>
      <c r="E58">
        <v>0.4</v>
      </c>
      <c r="F58">
        <f t="shared" si="17"/>
        <v>19.80000000000001</v>
      </c>
      <c r="G58" s="1">
        <f t="shared" si="2"/>
        <v>1062.9696000000001</v>
      </c>
      <c r="H58" s="1">
        <f>IF(G58-G57&gt;0,G58-G57,0)</f>
        <v>38.016000000000076</v>
      </c>
      <c r="I58">
        <v>25</v>
      </c>
      <c r="J58" s="64">
        <f t="shared" si="26"/>
        <v>24.999999999999996</v>
      </c>
      <c r="K58" s="117">
        <f t="shared" si="4"/>
        <v>0.0006666666666666669</v>
      </c>
      <c r="L58" s="1">
        <f t="shared" si="5"/>
        <v>223618.8960973822</v>
      </c>
      <c r="M58" s="1">
        <f t="shared" si="6"/>
        <v>18150.884423488813</v>
      </c>
      <c r="N58" s="1">
        <f t="shared" si="27"/>
        <v>21000</v>
      </c>
      <c r="O58" s="74">
        <f t="shared" si="20"/>
        <v>0.8643278296899435</v>
      </c>
      <c r="P58" s="84">
        <f t="shared" si="8"/>
        <v>7</v>
      </c>
      <c r="Q58" s="1">
        <f t="shared" si="41"/>
        <v>16.434600000000003</v>
      </c>
      <c r="R58" s="1">
        <f t="shared" si="19"/>
        <v>842.9186558054699</v>
      </c>
      <c r="S58" s="1">
        <f t="shared" si="10"/>
        <v>41.08650000000001</v>
      </c>
      <c r="T58" s="60">
        <f t="shared" si="11"/>
        <v>32.869200000000006</v>
      </c>
      <c r="U58" s="101">
        <f t="shared" si="12"/>
        <v>3725.6217277486912</v>
      </c>
      <c r="V58" s="102">
        <f t="shared" si="13"/>
        <v>8199.20436963351</v>
      </c>
      <c r="W58" s="102">
        <f t="shared" si="14"/>
        <v>7092.75</v>
      </c>
      <c r="X58" s="102">
        <f t="shared" si="1"/>
        <v>204601.32</v>
      </c>
      <c r="Y58" s="103">
        <f t="shared" si="15"/>
        <v>0</v>
      </c>
      <c r="AA58">
        <v>60</v>
      </c>
      <c r="AB58" s="52">
        <f t="shared" si="28"/>
        <v>21459.581151832463</v>
      </c>
      <c r="AC58" s="52">
        <f t="shared" si="29"/>
        <v>8199.20436963351</v>
      </c>
      <c r="AD58" s="52">
        <f t="shared" si="30"/>
        <v>17022.6</v>
      </c>
      <c r="AE58" s="3">
        <f t="shared" si="31"/>
        <v>250068.27999999997</v>
      </c>
      <c r="AF58" s="5">
        <f t="shared" si="32"/>
        <v>0</v>
      </c>
      <c r="AG58" s="24">
        <f t="shared" si="35"/>
        <v>296749.66552146594</v>
      </c>
      <c r="AH58" s="53">
        <f t="shared" si="36"/>
        <v>0.07231543501193986</v>
      </c>
      <c r="AI58" s="53">
        <f t="shared" si="37"/>
        <v>0.027630037443261767</v>
      </c>
      <c r="AJ58" s="53">
        <f t="shared" si="38"/>
        <v>0.057363501893378334</v>
      </c>
      <c r="AK58" s="53">
        <f t="shared" si="39"/>
        <v>0.8426910256514201</v>
      </c>
      <c r="AL58" s="53">
        <f t="shared" si="40"/>
        <v>0</v>
      </c>
      <c r="AM58" s="1">
        <f t="shared" si="33"/>
        <v>108937.5</v>
      </c>
      <c r="AN58" s="1">
        <f t="shared" si="34"/>
        <v>57808.37640028557</v>
      </c>
    </row>
    <row r="59" spans="2:40" ht="12.75">
      <c r="B59" s="122">
        <f t="shared" si="16"/>
        <v>39225.00272082485</v>
      </c>
      <c r="C59">
        <v>3</v>
      </c>
      <c r="D59" s="2">
        <v>0.016</v>
      </c>
      <c r="E59">
        <v>0.4</v>
      </c>
      <c r="F59">
        <f t="shared" si="17"/>
        <v>20.20000000000001</v>
      </c>
      <c r="G59" s="1">
        <f t="shared" si="2"/>
        <v>1096.7616</v>
      </c>
      <c r="H59" s="1">
        <f t="shared" si="18"/>
        <v>33.791999999999916</v>
      </c>
      <c r="I59">
        <v>25</v>
      </c>
      <c r="J59" s="64">
        <f t="shared" si="26"/>
        <v>25</v>
      </c>
      <c r="K59" s="117">
        <f>(E59/J59)/24</f>
        <v>0.0006666666666666666</v>
      </c>
      <c r="L59" s="1">
        <f t="shared" si="5"/>
        <v>248515.0204973822</v>
      </c>
      <c r="M59" s="1">
        <f t="shared" si="6"/>
        <v>20171.673741670635</v>
      </c>
      <c r="N59" s="1">
        <f t="shared" si="27"/>
        <v>21000</v>
      </c>
      <c r="O59" s="74">
        <f t="shared" si="20"/>
        <v>0.9605558924605064</v>
      </c>
      <c r="P59" s="84">
        <f t="shared" si="8"/>
        <v>8</v>
      </c>
      <c r="Q59" s="1">
        <f t="shared" si="41"/>
        <v>18.782400000000003</v>
      </c>
      <c r="R59" s="1">
        <f t="shared" si="19"/>
        <v>861.70105580547</v>
      </c>
      <c r="S59" s="1">
        <f t="shared" si="10"/>
        <v>46.956</v>
      </c>
      <c r="T59" s="60">
        <f t="shared" si="11"/>
        <v>37.564800000000005</v>
      </c>
      <c r="U59" s="101">
        <f t="shared" si="12"/>
        <v>3725.6217277486912</v>
      </c>
      <c r="V59" s="102">
        <f t="shared" si="13"/>
        <v>8199.20436963351</v>
      </c>
      <c r="W59" s="102">
        <f t="shared" si="14"/>
        <v>7092.75</v>
      </c>
      <c r="X59" s="102">
        <f t="shared" si="1"/>
        <v>181867.84</v>
      </c>
      <c r="Y59" s="103">
        <f t="shared" si="15"/>
        <v>47629.6044</v>
      </c>
      <c r="AA59">
        <v>65</v>
      </c>
      <c r="AB59" s="52">
        <f t="shared" si="28"/>
        <v>25185.202879581153</v>
      </c>
      <c r="AC59" s="52">
        <f t="shared" si="29"/>
        <v>8199.20436963351</v>
      </c>
      <c r="AD59" s="52">
        <f t="shared" si="30"/>
        <v>18441.15</v>
      </c>
      <c r="AE59" s="3">
        <f t="shared" si="31"/>
        <v>250068.27999999997</v>
      </c>
      <c r="AF59" s="5">
        <f t="shared" si="32"/>
        <v>0</v>
      </c>
      <c r="AG59" s="24">
        <f t="shared" si="35"/>
        <v>301893.83724921464</v>
      </c>
      <c r="AH59" s="53">
        <f t="shared" si="36"/>
        <v>0.08342403776460883</v>
      </c>
      <c r="AI59" s="53">
        <f t="shared" si="37"/>
        <v>0.027159230689644823</v>
      </c>
      <c r="AJ59" s="53">
        <f t="shared" si="38"/>
        <v>0.06108488390498927</v>
      </c>
      <c r="AK59" s="53">
        <f t="shared" si="39"/>
        <v>0.8283318476407571</v>
      </c>
      <c r="AL59" s="53">
        <f t="shared" si="40"/>
        <v>0</v>
      </c>
      <c r="AM59" s="1">
        <f t="shared" si="33"/>
        <v>100557.69230769231</v>
      </c>
      <c r="AN59" s="1">
        <f t="shared" si="34"/>
        <v>63711.36175713946</v>
      </c>
    </row>
    <row r="60" spans="2:40" ht="12.75">
      <c r="B60" s="122">
        <f t="shared" si="16"/>
        <v>39225.00322082485</v>
      </c>
      <c r="C60">
        <v>0</v>
      </c>
      <c r="D60" s="2">
        <v>0.016</v>
      </c>
      <c r="E60">
        <v>0.3</v>
      </c>
      <c r="F60">
        <f t="shared" si="17"/>
        <v>20.50000000000001</v>
      </c>
      <c r="G60" s="1">
        <f t="shared" si="2"/>
        <v>1122.1056</v>
      </c>
      <c r="H60" s="1">
        <f t="shared" si="18"/>
        <v>25.34400000000005</v>
      </c>
      <c r="I60">
        <v>25</v>
      </c>
      <c r="J60" s="64">
        <f t="shared" si="26"/>
        <v>25</v>
      </c>
      <c r="K60" s="117">
        <f t="shared" si="4"/>
        <v>0.0005</v>
      </c>
      <c r="L60" s="1">
        <f t="shared" si="5"/>
        <v>248513.4160973822</v>
      </c>
      <c r="M60" s="1">
        <f t="shared" si="6"/>
        <v>20171.543514397905</v>
      </c>
      <c r="N60" s="1">
        <f t="shared" si="27"/>
        <v>21000</v>
      </c>
      <c r="O60" s="74">
        <f t="shared" si="20"/>
        <v>0.960549691161805</v>
      </c>
      <c r="P60" s="84">
        <f t="shared" si="8"/>
        <v>8</v>
      </c>
      <c r="Q60" s="1">
        <f t="shared" si="41"/>
        <v>14.0868</v>
      </c>
      <c r="R60" s="1">
        <f t="shared" si="19"/>
        <v>875.78785580547</v>
      </c>
      <c r="S60" s="1">
        <f t="shared" si="10"/>
        <v>46.956</v>
      </c>
      <c r="T60" s="60">
        <f t="shared" si="11"/>
        <v>28.1736</v>
      </c>
      <c r="U60" s="101">
        <f t="shared" si="12"/>
        <v>3725.6217277486912</v>
      </c>
      <c r="V60" s="102">
        <f t="shared" si="13"/>
        <v>8199.20436963351</v>
      </c>
      <c r="W60" s="102">
        <f t="shared" si="14"/>
        <v>7092.75</v>
      </c>
      <c r="X60" s="102">
        <f t="shared" si="1"/>
        <v>181867.84</v>
      </c>
      <c r="Y60" s="103">
        <f t="shared" si="15"/>
        <v>47628</v>
      </c>
      <c r="AA60">
        <v>70</v>
      </c>
      <c r="AB60" s="52">
        <f t="shared" si="28"/>
        <v>29208.874345549742</v>
      </c>
      <c r="AC60" s="52">
        <f t="shared" si="29"/>
        <v>8199.20436963351</v>
      </c>
      <c r="AD60" s="52">
        <f t="shared" si="30"/>
        <v>19859.7</v>
      </c>
      <c r="AE60" s="3">
        <f t="shared" si="31"/>
        <v>250068.27999999997</v>
      </c>
      <c r="AF60" s="5">
        <f t="shared" si="32"/>
        <v>0</v>
      </c>
      <c r="AG60" s="24">
        <f t="shared" si="35"/>
        <v>307336.05871518323</v>
      </c>
      <c r="AH60" s="53">
        <f t="shared" si="36"/>
        <v>0.09503887850861785</v>
      </c>
      <c r="AI60" s="53">
        <f t="shared" si="37"/>
        <v>0.026678302584832513</v>
      </c>
      <c r="AJ60" s="53">
        <f t="shared" si="38"/>
        <v>0.06461884128736267</v>
      </c>
      <c r="AK60" s="53">
        <f t="shared" si="39"/>
        <v>0.813663977619187</v>
      </c>
      <c r="AL60" s="53">
        <f t="shared" si="40"/>
        <v>0</v>
      </c>
      <c r="AM60" s="1">
        <f t="shared" si="33"/>
        <v>93375</v>
      </c>
      <c r="AN60" s="1">
        <f t="shared" si="34"/>
        <v>69849.10425345073</v>
      </c>
    </row>
    <row r="61" spans="2:40" ht="12.75">
      <c r="B61" s="122">
        <f t="shared" si="16"/>
        <v>39225.0039152693</v>
      </c>
      <c r="C61">
        <v>2</v>
      </c>
      <c r="D61" s="2">
        <v>0.012</v>
      </c>
      <c r="E61">
        <v>0.5</v>
      </c>
      <c r="F61">
        <f t="shared" si="17"/>
        <v>21.00000000000001</v>
      </c>
      <c r="G61" s="1">
        <f t="shared" si="2"/>
        <v>1153.7856000000002</v>
      </c>
      <c r="H61" s="1">
        <f t="shared" si="18"/>
        <v>31.680000000000064</v>
      </c>
      <c r="I61">
        <v>30</v>
      </c>
      <c r="J61" s="64">
        <f t="shared" si="26"/>
        <v>29.999999999999996</v>
      </c>
      <c r="K61" s="117">
        <f t="shared" si="4"/>
        <v>0.0006944444444444446</v>
      </c>
      <c r="L61" s="1">
        <f t="shared" si="5"/>
        <v>190229.34925759162</v>
      </c>
      <c r="M61" s="1">
        <f t="shared" si="6"/>
        <v>18528.832719895287</v>
      </c>
      <c r="N61" s="1">
        <f t="shared" si="27"/>
        <v>21000</v>
      </c>
      <c r="O61" s="74">
        <f t="shared" si="20"/>
        <v>0.8823253676140612</v>
      </c>
      <c r="P61" s="84">
        <f t="shared" si="8"/>
        <v>7</v>
      </c>
      <c r="Q61" s="1">
        <f t="shared" si="41"/>
        <v>17.119375</v>
      </c>
      <c r="R61" s="1">
        <f t="shared" si="19"/>
        <v>892.90723080547</v>
      </c>
      <c r="S61" s="1">
        <f t="shared" si="10"/>
        <v>34.23875</v>
      </c>
      <c r="T61" s="60">
        <f t="shared" si="11"/>
        <v>34.23875</v>
      </c>
      <c r="U61" s="101">
        <f t="shared" si="12"/>
        <v>5364.895287958116</v>
      </c>
      <c r="V61" s="102">
        <f t="shared" si="13"/>
        <v>8199.20436963351</v>
      </c>
      <c r="W61" s="102">
        <f t="shared" si="14"/>
        <v>8511.3</v>
      </c>
      <c r="X61" s="102">
        <f>$AB$11*(20*D61*(VLOOKUP($AB$10,$AA$36:$AI$44,9,0)))+(20*D61*(VLOOKUP($AB$12,$AA$26:$AH$33,7,0)/2000))*$AE$7</f>
        <v>136400.88</v>
      </c>
      <c r="Y61" s="103">
        <f t="shared" si="15"/>
        <v>31753.0696</v>
      </c>
      <c r="AA61">
        <v>75</v>
      </c>
      <c r="AB61" s="52">
        <f t="shared" si="28"/>
        <v>33530.595549738224</v>
      </c>
      <c r="AC61" s="52">
        <f t="shared" si="29"/>
        <v>8199.20436963351</v>
      </c>
      <c r="AD61" s="52">
        <f t="shared" si="30"/>
        <v>21278.25</v>
      </c>
      <c r="AE61" s="3">
        <f t="shared" si="31"/>
        <v>250068.27999999997</v>
      </c>
      <c r="AF61" s="5">
        <f t="shared" si="32"/>
        <v>0</v>
      </c>
      <c r="AG61" s="24">
        <f t="shared" si="35"/>
        <v>313076.3299193717</v>
      </c>
      <c r="AH61" s="53">
        <f t="shared" si="36"/>
        <v>0.10710038525867972</v>
      </c>
      <c r="AI61" s="53">
        <f t="shared" si="37"/>
        <v>0.026189154484291727</v>
      </c>
      <c r="AJ61" s="53">
        <f t="shared" si="38"/>
        <v>0.06796505505695657</v>
      </c>
      <c r="AK61" s="53">
        <f t="shared" si="39"/>
        <v>0.798745405200072</v>
      </c>
      <c r="AL61" s="53">
        <f t="shared" si="40"/>
        <v>0</v>
      </c>
      <c r="AM61" s="1">
        <f t="shared" si="33"/>
        <v>87150</v>
      </c>
      <c r="AN61" s="1">
        <f t="shared" si="34"/>
        <v>76236.1192985483</v>
      </c>
    </row>
    <row r="62" spans="2:40" ht="12.75">
      <c r="B62" s="122">
        <f t="shared" si="16"/>
        <v>39225.0042277693</v>
      </c>
      <c r="C62">
        <v>0</v>
      </c>
      <c r="D62" s="2">
        <v>-0.006</v>
      </c>
      <c r="E62">
        <v>0.3</v>
      </c>
      <c r="F62">
        <f t="shared" si="17"/>
        <v>21.30000000000001</v>
      </c>
      <c r="G62" s="1">
        <f t="shared" si="2"/>
        <v>1144.2816000000003</v>
      </c>
      <c r="H62" s="1">
        <f t="shared" si="18"/>
        <v>0</v>
      </c>
      <c r="I62">
        <v>40</v>
      </c>
      <c r="J62" s="64">
        <f t="shared" si="26"/>
        <v>40.00000000000001</v>
      </c>
      <c r="K62" s="117">
        <f t="shared" si="4"/>
        <v>0.0003124999999999999</v>
      </c>
      <c r="L62" s="1">
        <f>SUM(U62:Y62)</f>
        <v>-7363.244007329849</v>
      </c>
      <c r="M62" s="1">
        <f>$L62*$I62/308</f>
        <v>-956.2654554973831</v>
      </c>
      <c r="N62" s="1">
        <f t="shared" si="27"/>
        <v>21000</v>
      </c>
      <c r="O62" s="74">
        <f t="shared" si="20"/>
        <v>-0.045536450261780145</v>
      </c>
      <c r="P62" s="84">
        <f t="shared" si="8"/>
        <v>1</v>
      </c>
      <c r="Q62" s="1">
        <f t="shared" si="41"/>
        <v>1.1005312499999997</v>
      </c>
      <c r="R62" s="1">
        <f t="shared" si="19"/>
        <v>894.00776205547</v>
      </c>
      <c r="S62" s="1">
        <f t="shared" si="10"/>
        <v>3.668437499999999</v>
      </c>
      <c r="T62" s="60">
        <f t="shared" si="11"/>
        <v>2.2010624999999995</v>
      </c>
      <c r="U62" s="101">
        <f t="shared" si="12"/>
        <v>9537.59162303665</v>
      </c>
      <c r="V62" s="102">
        <f t="shared" si="13"/>
        <v>8199.20436963351</v>
      </c>
      <c r="W62" s="102">
        <f t="shared" si="14"/>
        <v>11348.399999999998</v>
      </c>
      <c r="X62" s="102">
        <f t="shared" si="1"/>
        <v>-68200.44</v>
      </c>
      <c r="Y62" s="103">
        <f t="shared" si="15"/>
        <v>31752</v>
      </c>
      <c r="AA62">
        <v>80</v>
      </c>
      <c r="AB62" s="52">
        <f t="shared" si="28"/>
        <v>38150.3664921466</v>
      </c>
      <c r="AC62" s="52">
        <f t="shared" si="29"/>
        <v>8199.20436963351</v>
      </c>
      <c r="AD62" s="52">
        <f t="shared" si="30"/>
        <v>22696.799999999996</v>
      </c>
      <c r="AE62" s="3">
        <f t="shared" si="31"/>
        <v>250068.27999999997</v>
      </c>
      <c r="AF62" s="5">
        <f t="shared" si="32"/>
        <v>0</v>
      </c>
      <c r="AG62" s="24">
        <f t="shared" si="35"/>
        <v>319114.65086178004</v>
      </c>
      <c r="AH62" s="53">
        <f t="shared" si="36"/>
        <v>0.11955065801310039</v>
      </c>
      <c r="AI62" s="53">
        <f t="shared" si="37"/>
        <v>0.025693600552313338</v>
      </c>
      <c r="AJ62" s="53">
        <f t="shared" si="38"/>
        <v>0.07112428068942153</v>
      </c>
      <c r="AK62" s="53">
        <f t="shared" si="39"/>
        <v>0.7836314607451649</v>
      </c>
      <c r="AL62" s="53">
        <f t="shared" si="40"/>
        <v>0</v>
      </c>
      <c r="AM62" s="1">
        <f t="shared" si="33"/>
        <v>81703.125</v>
      </c>
      <c r="AN62" s="1">
        <f t="shared" si="34"/>
        <v>82886.92230176105</v>
      </c>
    </row>
    <row r="63" spans="2:40" ht="12.75">
      <c r="B63" s="122">
        <f t="shared" si="16"/>
        <v>39225.00450554708</v>
      </c>
      <c r="C63">
        <v>0</v>
      </c>
      <c r="D63" s="2">
        <v>0.001</v>
      </c>
      <c r="E63">
        <v>0.4</v>
      </c>
      <c r="F63">
        <f t="shared" si="17"/>
        <v>21.70000000000001</v>
      </c>
      <c r="G63" s="1">
        <f t="shared" si="2"/>
        <v>1146.3936000000003</v>
      </c>
      <c r="H63" s="1">
        <f t="shared" si="18"/>
        <v>2.11200000000008</v>
      </c>
      <c r="I63">
        <v>60</v>
      </c>
      <c r="J63" s="64">
        <f t="shared" si="26"/>
        <v>59.99999999999999</v>
      </c>
      <c r="K63" s="117">
        <f t="shared" si="4"/>
        <v>0.00027777777777777783</v>
      </c>
      <c r="L63" s="1">
        <f t="shared" si="5"/>
        <v>58048.12552146597</v>
      </c>
      <c r="M63" s="1">
        <f t="shared" si="6"/>
        <v>11308.076400285578</v>
      </c>
      <c r="N63" s="1">
        <f t="shared" si="27"/>
        <v>21000</v>
      </c>
      <c r="O63" s="74">
        <f t="shared" si="20"/>
        <v>0.5384798285850275</v>
      </c>
      <c r="P63" s="84">
        <f t="shared" si="8"/>
        <v>4</v>
      </c>
      <c r="Q63" s="1">
        <f t="shared" si="41"/>
        <v>3.9130000000000007</v>
      </c>
      <c r="R63" s="1">
        <f t="shared" si="19"/>
        <v>897.92076205547</v>
      </c>
      <c r="S63" s="1">
        <f t="shared" si="10"/>
        <v>9.7825</v>
      </c>
      <c r="T63" s="60">
        <f t="shared" si="11"/>
        <v>7.826000000000001</v>
      </c>
      <c r="U63" s="101">
        <f t="shared" si="12"/>
        <v>21459.581151832463</v>
      </c>
      <c r="V63" s="102">
        <f t="shared" si="13"/>
        <v>8199.20436963351</v>
      </c>
      <c r="W63" s="102">
        <f t="shared" si="14"/>
        <v>17022.6</v>
      </c>
      <c r="X63" s="102">
        <f t="shared" si="1"/>
        <v>11366.74</v>
      </c>
      <c r="Y63" s="103">
        <f t="shared" si="15"/>
        <v>0</v>
      </c>
      <c r="AA63">
        <v>85</v>
      </c>
      <c r="AB63" s="52">
        <f t="shared" si="28"/>
        <v>43068.187172774866</v>
      </c>
      <c r="AC63" s="52">
        <f t="shared" si="29"/>
        <v>8199.20436963351</v>
      </c>
      <c r="AD63" s="52">
        <f t="shared" si="30"/>
        <v>24115.35</v>
      </c>
      <c r="AE63" s="3">
        <f t="shared" si="31"/>
        <v>250068.27999999997</v>
      </c>
      <c r="AF63" s="5">
        <f t="shared" si="32"/>
        <v>0</v>
      </c>
      <c r="AG63" s="24">
        <f t="shared" si="35"/>
        <v>325451.0215424083</v>
      </c>
      <c r="AH63" s="53">
        <f t="shared" si="36"/>
        <v>0.13233385155364402</v>
      </c>
      <c r="AI63" s="53">
        <f t="shared" si="37"/>
        <v>0.02519335883714564</v>
      </c>
      <c r="AJ63" s="53">
        <f t="shared" si="38"/>
        <v>0.07409824644491896</v>
      </c>
      <c r="AK63" s="53">
        <f t="shared" si="39"/>
        <v>0.7683745431642914</v>
      </c>
      <c r="AL63" s="53">
        <f t="shared" si="40"/>
        <v>0</v>
      </c>
      <c r="AM63" s="1">
        <f t="shared" si="33"/>
        <v>76897.05882352941</v>
      </c>
      <c r="AN63" s="1">
        <f t="shared" si="34"/>
        <v>89816.02867241787</v>
      </c>
    </row>
    <row r="64" spans="2:40" ht="12.75">
      <c r="B64" s="122">
        <f t="shared" si="16"/>
        <v>39225.00550554707</v>
      </c>
      <c r="C64">
        <v>3</v>
      </c>
      <c r="D64" s="2">
        <v>0.014</v>
      </c>
      <c r="E64">
        <v>0.6</v>
      </c>
      <c r="F64">
        <f t="shared" si="17"/>
        <v>22.30000000000001</v>
      </c>
      <c r="G64" s="1">
        <f t="shared" si="2"/>
        <v>1190.7456000000004</v>
      </c>
      <c r="H64" s="1">
        <f t="shared" si="18"/>
        <v>44.35200000000009</v>
      </c>
      <c r="I64">
        <v>25</v>
      </c>
      <c r="J64" s="64">
        <f t="shared" si="26"/>
        <v>25.000000000000004</v>
      </c>
      <c r="K64" s="117">
        <f t="shared" si="4"/>
        <v>0.0009999999999999998</v>
      </c>
      <c r="L64" s="1">
        <f t="shared" si="5"/>
        <v>225781.54049738223</v>
      </c>
      <c r="M64" s="1">
        <f t="shared" si="6"/>
        <v>18326.42374167064</v>
      </c>
      <c r="N64" s="1">
        <f t="shared" si="27"/>
        <v>21000</v>
      </c>
      <c r="O64" s="74">
        <f t="shared" si="20"/>
        <v>0.872686844841459</v>
      </c>
      <c r="P64" s="84">
        <f t="shared" si="8"/>
        <v>7</v>
      </c>
      <c r="Q64" s="1">
        <f t="shared" si="41"/>
        <v>24.651899999999994</v>
      </c>
      <c r="R64" s="1">
        <f t="shared" si="19"/>
        <v>922.57266205547</v>
      </c>
      <c r="S64" s="1">
        <f t="shared" si="10"/>
        <v>41.086499999999994</v>
      </c>
      <c r="T64" s="60">
        <f t="shared" si="11"/>
        <v>49.30379999999999</v>
      </c>
      <c r="U64" s="101">
        <f t="shared" si="12"/>
        <v>3725.6217277486912</v>
      </c>
      <c r="V64" s="102">
        <f t="shared" si="13"/>
        <v>8199.20436963351</v>
      </c>
      <c r="W64" s="102">
        <f t="shared" si="14"/>
        <v>7092.75</v>
      </c>
      <c r="X64" s="102">
        <f t="shared" si="1"/>
        <v>159134.36000000002</v>
      </c>
      <c r="Y64" s="103">
        <f t="shared" si="15"/>
        <v>47629.6044</v>
      </c>
      <c r="AA64">
        <v>90</v>
      </c>
      <c r="AB64" s="52">
        <f t="shared" si="28"/>
        <v>48284.05759162304</v>
      </c>
      <c r="AC64" s="52">
        <f t="shared" si="29"/>
        <v>8199.20436963351</v>
      </c>
      <c r="AD64" s="52">
        <f t="shared" si="30"/>
        <v>25533.9</v>
      </c>
      <c r="AE64" s="3">
        <f t="shared" si="31"/>
        <v>250068.27999999997</v>
      </c>
      <c r="AF64" s="5">
        <f t="shared" si="32"/>
        <v>0</v>
      </c>
      <c r="AG64" s="24">
        <f t="shared" si="35"/>
        <v>332085.44196125655</v>
      </c>
      <c r="AH64" s="53">
        <f t="shared" si="36"/>
        <v>0.14539648985051323</v>
      </c>
      <c r="AI64" s="53">
        <f t="shared" si="37"/>
        <v>0.024690044589759784</v>
      </c>
      <c r="AJ64" s="53">
        <f t="shared" si="38"/>
        <v>0.07688954941595713</v>
      </c>
      <c r="AK64" s="53">
        <f t="shared" si="39"/>
        <v>0.7530239161437697</v>
      </c>
      <c r="AL64" s="53">
        <f t="shared" si="40"/>
        <v>0</v>
      </c>
      <c r="AM64" s="1">
        <f t="shared" si="33"/>
        <v>72625</v>
      </c>
      <c r="AN64" s="1">
        <f t="shared" si="34"/>
        <v>97037.9538198477</v>
      </c>
    </row>
    <row r="65" spans="2:40" ht="12.75">
      <c r="B65" s="122">
        <f t="shared" si="16"/>
        <v>39225.00599165818</v>
      </c>
      <c r="C65">
        <v>3</v>
      </c>
      <c r="D65" s="2">
        <v>-0.009</v>
      </c>
      <c r="E65">
        <v>0.7</v>
      </c>
      <c r="F65">
        <f t="shared" si="17"/>
        <v>23.00000000000001</v>
      </c>
      <c r="G65" s="1">
        <f t="shared" si="2"/>
        <v>1157.4816000000005</v>
      </c>
      <c r="H65" s="1">
        <f t="shared" si="18"/>
        <v>0</v>
      </c>
      <c r="I65">
        <v>60</v>
      </c>
      <c r="J65" s="64">
        <f t="shared" si="26"/>
        <v>59.99999999999999</v>
      </c>
      <c r="K65" s="117">
        <f t="shared" si="4"/>
        <v>0.00048611111111111115</v>
      </c>
      <c r="L65" s="1">
        <f t="shared" si="5"/>
        <v>-7989.670078534036</v>
      </c>
      <c r="M65" s="1">
        <f t="shared" si="6"/>
        <v>-1556.429236078059</v>
      </c>
      <c r="N65" s="1">
        <f t="shared" si="27"/>
        <v>21000</v>
      </c>
      <c r="O65" s="74">
        <f t="shared" si="20"/>
        <v>-0.07411567790847899</v>
      </c>
      <c r="P65" s="84">
        <f t="shared" si="8"/>
        <v>1</v>
      </c>
      <c r="Q65" s="1">
        <f>IF($AB$11*E65/J65*VLOOKUP($AB$10,$AA$34:$AQ$44,MATCH(P65,$AA$34:$AQ$34,),0)&gt;0,$AB$11*E65/J65*VLOOKUP($AB$10,$AA$34:$AQ$44,MATCH(P65,$AA$34:$AQ$34,),0),0)</f>
        <v>1.7119375</v>
      </c>
      <c r="R65" s="1">
        <f t="shared" si="19"/>
        <v>924.28459955547</v>
      </c>
      <c r="S65" s="1">
        <f t="shared" si="10"/>
        <v>2.445625</v>
      </c>
      <c r="T65" s="60">
        <f>Q65*$AB$15</f>
        <v>3.423875</v>
      </c>
      <c r="U65" s="101">
        <f t="shared" si="12"/>
        <v>21459.581151832463</v>
      </c>
      <c r="V65" s="102">
        <f t="shared" si="13"/>
        <v>8199.20436963351</v>
      </c>
      <c r="W65" s="102">
        <f t="shared" si="14"/>
        <v>17022.6</v>
      </c>
      <c r="X65" s="102">
        <f>$AB$11*(20*D65*(VLOOKUP($AB$10,$AA$36:$AI$44,9,0)))+(20*D65*(VLOOKUP($AB$12,$AA$26:$AH$33,7,0)/2000))*$AE$7</f>
        <v>-102300.66</v>
      </c>
      <c r="Y65" s="103">
        <f t="shared" si="15"/>
        <v>47629.6044</v>
      </c>
      <c r="AA65">
        <v>95</v>
      </c>
      <c r="AB65" s="52">
        <f t="shared" si="28"/>
        <v>53797.977748691104</v>
      </c>
      <c r="AC65" s="52">
        <f t="shared" si="29"/>
        <v>8199.20436963351</v>
      </c>
      <c r="AD65" s="52">
        <f t="shared" si="30"/>
        <v>26952.449999999997</v>
      </c>
      <c r="AE65" s="3">
        <f t="shared" si="31"/>
        <v>250068.27999999997</v>
      </c>
      <c r="AF65" s="5">
        <f t="shared" si="32"/>
        <v>0</v>
      </c>
      <c r="AG65" s="24">
        <f t="shared" si="35"/>
        <v>339017.91211832454</v>
      </c>
      <c r="AH65" s="53">
        <f t="shared" si="36"/>
        <v>0.158687714795183</v>
      </c>
      <c r="AI65" s="53">
        <f t="shared" si="37"/>
        <v>0.024185165669865286</v>
      </c>
      <c r="AJ65" s="53">
        <f t="shared" si="38"/>
        <v>0.07950155150089241</v>
      </c>
      <c r="AK65" s="53">
        <f t="shared" si="39"/>
        <v>0.7376255680340594</v>
      </c>
      <c r="AL65" s="53">
        <f t="shared" si="40"/>
        <v>0</v>
      </c>
      <c r="AM65" s="1">
        <f t="shared" si="33"/>
        <v>68802.63157894737</v>
      </c>
      <c r="AN65" s="1">
        <f t="shared" si="34"/>
        <v>104567.21315337933</v>
      </c>
    </row>
    <row r="66" spans="2:40" ht="12.75">
      <c r="B66" s="122">
        <f t="shared" si="16"/>
        <v>39225.00626943596</v>
      </c>
      <c r="C66">
        <v>0</v>
      </c>
      <c r="D66" s="2">
        <v>-0.006</v>
      </c>
      <c r="E66">
        <v>0.4</v>
      </c>
      <c r="F66">
        <f t="shared" si="17"/>
        <v>23.40000000000001</v>
      </c>
      <c r="G66" s="1">
        <f t="shared" si="2"/>
        <v>1144.8096000000005</v>
      </c>
      <c r="H66" s="1">
        <f t="shared" si="18"/>
        <v>0</v>
      </c>
      <c r="I66">
        <v>60</v>
      </c>
      <c r="J66" s="64">
        <f t="shared" si="26"/>
        <v>59.99999999999999</v>
      </c>
      <c r="K66" s="117">
        <f t="shared" si="4"/>
        <v>0.00027777777777777783</v>
      </c>
      <c r="L66" s="1">
        <f t="shared" si="5"/>
        <v>26108.94552146597</v>
      </c>
      <c r="M66" s="1">
        <f t="shared" si="6"/>
        <v>5086.158218467396</v>
      </c>
      <c r="N66" s="1">
        <f t="shared" si="27"/>
        <v>21000</v>
      </c>
      <c r="O66" s="74">
        <f t="shared" si="20"/>
        <v>0.24219801040320935</v>
      </c>
      <c r="P66" s="84">
        <f t="shared" si="8"/>
        <v>2</v>
      </c>
      <c r="Q66" s="1">
        <f t="shared" si="41"/>
        <v>1.9565000000000003</v>
      </c>
      <c r="R66" s="1">
        <f t="shared" si="19"/>
        <v>926.24109955547</v>
      </c>
      <c r="S66" s="1">
        <f t="shared" si="10"/>
        <v>4.89125</v>
      </c>
      <c r="T66" s="60">
        <f t="shared" si="11"/>
        <v>3.9130000000000007</v>
      </c>
      <c r="U66" s="101">
        <f t="shared" si="12"/>
        <v>21459.581151832463</v>
      </c>
      <c r="V66" s="102">
        <f t="shared" si="13"/>
        <v>8199.20436963351</v>
      </c>
      <c r="W66" s="102">
        <f t="shared" si="14"/>
        <v>17022.6</v>
      </c>
      <c r="X66" s="102">
        <f t="shared" si="1"/>
        <v>-68200.44</v>
      </c>
      <c r="Y66" s="103">
        <f t="shared" si="15"/>
        <v>47628</v>
      </c>
      <c r="AA66">
        <v>100</v>
      </c>
      <c r="AB66" s="52">
        <f t="shared" si="28"/>
        <v>59609.94764397906</v>
      </c>
      <c r="AC66" s="52">
        <f t="shared" si="29"/>
        <v>8199.20436963351</v>
      </c>
      <c r="AD66" s="52">
        <f t="shared" si="30"/>
        <v>28371</v>
      </c>
      <c r="AE66" s="3">
        <f t="shared" si="31"/>
        <v>250068.27999999997</v>
      </c>
      <c r="AF66" s="5">
        <f t="shared" si="32"/>
        <v>0</v>
      </c>
      <c r="AG66" s="24">
        <f t="shared" si="35"/>
        <v>346248.43201361253</v>
      </c>
      <c r="AH66" s="53">
        <f t="shared" si="36"/>
        <v>0.17215947317744254</v>
      </c>
      <c r="AI66" s="53">
        <f t="shared" si="37"/>
        <v>0.02368011985484215</v>
      </c>
      <c r="AJ66" s="53">
        <f t="shared" si="38"/>
        <v>0.08193827719307799</v>
      </c>
      <c r="AK66" s="53">
        <f t="shared" si="39"/>
        <v>0.7222221297746374</v>
      </c>
      <c r="AL66" s="53">
        <f t="shared" si="40"/>
        <v>0</v>
      </c>
      <c r="AM66" s="1">
        <f t="shared" si="33"/>
        <v>65362.5</v>
      </c>
      <c r="AN66" s="1">
        <f t="shared" si="34"/>
        <v>112418.32208234174</v>
      </c>
    </row>
    <row r="67" spans="2:40" ht="12.75">
      <c r="B67" s="122">
        <f t="shared" si="16"/>
        <v>39225.00682499151</v>
      </c>
      <c r="C67">
        <v>0</v>
      </c>
      <c r="D67" s="2">
        <v>0</v>
      </c>
      <c r="E67">
        <v>0.8</v>
      </c>
      <c r="F67">
        <f t="shared" si="17"/>
        <v>24.20000000000001</v>
      </c>
      <c r="G67" s="1">
        <f t="shared" si="2"/>
        <v>1144.8096000000005</v>
      </c>
      <c r="H67" s="1">
        <f t="shared" si="18"/>
        <v>0</v>
      </c>
      <c r="I67">
        <v>60</v>
      </c>
      <c r="J67" s="64">
        <f t="shared" si="26"/>
        <v>60.000000000000014</v>
      </c>
      <c r="K67" s="117">
        <f t="shared" si="4"/>
        <v>0.0005555555555555554</v>
      </c>
      <c r="L67" s="1">
        <f t="shared" si="5"/>
        <v>46681.38552146597</v>
      </c>
      <c r="M67" s="1">
        <f t="shared" si="6"/>
        <v>9093.77640028558</v>
      </c>
      <c r="N67" s="1">
        <f t="shared" si="27"/>
        <v>21000</v>
      </c>
      <c r="O67" s="74">
        <f t="shared" si="20"/>
        <v>0.43303697144217046</v>
      </c>
      <c r="P67" s="84">
        <f t="shared" si="8"/>
        <v>4</v>
      </c>
      <c r="Q67" s="1">
        <f t="shared" si="41"/>
        <v>7.825999999999999</v>
      </c>
      <c r="R67" s="1">
        <f t="shared" si="19"/>
        <v>934.06709955547</v>
      </c>
      <c r="S67" s="1">
        <f t="shared" si="10"/>
        <v>9.782499999999997</v>
      </c>
      <c r="T67" s="60">
        <f t="shared" si="11"/>
        <v>15.651999999999997</v>
      </c>
      <c r="U67" s="101">
        <f t="shared" si="12"/>
        <v>21459.581151832463</v>
      </c>
      <c r="V67" s="102">
        <f t="shared" si="13"/>
        <v>8199.20436963351</v>
      </c>
      <c r="W67" s="102">
        <f t="shared" si="14"/>
        <v>17022.6</v>
      </c>
      <c r="X67" s="102">
        <f t="shared" si="1"/>
        <v>0</v>
      </c>
      <c r="Y67" s="103">
        <f t="shared" si="15"/>
        <v>0</v>
      </c>
      <c r="AA67">
        <v>105</v>
      </c>
      <c r="AB67" s="52">
        <f t="shared" si="28"/>
        <v>65719.96727748693</v>
      </c>
      <c r="AC67" s="52">
        <f t="shared" si="29"/>
        <v>8199.20436963351</v>
      </c>
      <c r="AD67" s="52">
        <f t="shared" si="30"/>
        <v>29789.549999999996</v>
      </c>
      <c r="AE67" s="3">
        <f t="shared" si="31"/>
        <v>250068.27999999997</v>
      </c>
      <c r="AF67" s="5">
        <f t="shared" si="32"/>
        <v>0</v>
      </c>
      <c r="AG67" s="24">
        <f t="shared" si="35"/>
        <v>353777.0016471204</v>
      </c>
      <c r="AH67" s="53">
        <f t="shared" si="36"/>
        <v>0.18576664670542994</v>
      </c>
      <c r="AI67" s="53">
        <f t="shared" si="37"/>
        <v>0.02317619384940097</v>
      </c>
      <c r="AJ67" s="53">
        <f t="shared" si="38"/>
        <v>0.08420431475563801</v>
      </c>
      <c r="AK67" s="53">
        <f t="shared" si="39"/>
        <v>0.706852844689531</v>
      </c>
      <c r="AL67" s="53">
        <f t="shared" si="40"/>
        <v>0</v>
      </c>
      <c r="AM67" s="1">
        <f t="shared" si="33"/>
        <v>62250</v>
      </c>
      <c r="AN67" s="1">
        <f t="shared" si="34"/>
        <v>120605.79601606379</v>
      </c>
    </row>
    <row r="68" spans="2:40" ht="12.75">
      <c r="B68" s="122">
        <f t="shared" si="16"/>
        <v>39225.00724165818</v>
      </c>
      <c r="C68">
        <v>0</v>
      </c>
      <c r="D68" s="2">
        <v>0</v>
      </c>
      <c r="E68">
        <v>0.6</v>
      </c>
      <c r="F68">
        <f t="shared" si="17"/>
        <v>24.80000000000001</v>
      </c>
      <c r="G68" s="1">
        <f t="shared" si="2"/>
        <v>1144.8096000000005</v>
      </c>
      <c r="H68" s="1">
        <f t="shared" si="18"/>
        <v>0</v>
      </c>
      <c r="I68">
        <v>60</v>
      </c>
      <c r="J68" s="64">
        <f t="shared" si="26"/>
        <v>60.000000000000014</v>
      </c>
      <c r="K68" s="117">
        <f t="shared" si="4"/>
        <v>0.00041666666666666653</v>
      </c>
      <c r="L68" s="1">
        <f t="shared" si="5"/>
        <v>46681.38552146597</v>
      </c>
      <c r="M68" s="1">
        <f t="shared" si="6"/>
        <v>9093.77640028558</v>
      </c>
      <c r="N68" s="1">
        <f t="shared" si="27"/>
        <v>21000</v>
      </c>
      <c r="O68" s="74">
        <f t="shared" si="20"/>
        <v>0.43303697144217046</v>
      </c>
      <c r="P68" s="84">
        <f t="shared" si="8"/>
        <v>4</v>
      </c>
      <c r="Q68" s="1">
        <f t="shared" si="41"/>
        <v>5.869499999999999</v>
      </c>
      <c r="R68" s="1">
        <f t="shared" si="19"/>
        <v>939.93659955547</v>
      </c>
      <c r="S68" s="1">
        <f t="shared" si="10"/>
        <v>9.782499999999999</v>
      </c>
      <c r="T68" s="60">
        <f t="shared" si="11"/>
        <v>11.738999999999997</v>
      </c>
      <c r="U68" s="101">
        <f t="shared" si="12"/>
        <v>21459.581151832463</v>
      </c>
      <c r="V68" s="102">
        <f t="shared" si="13"/>
        <v>8199.20436963351</v>
      </c>
      <c r="W68" s="102">
        <f t="shared" si="14"/>
        <v>17022.6</v>
      </c>
      <c r="X68" s="102">
        <f t="shared" si="1"/>
        <v>0</v>
      </c>
      <c r="Y68" s="103">
        <f t="shared" si="15"/>
        <v>0</v>
      </c>
      <c r="AA68">
        <v>110</v>
      </c>
      <c r="AB68" s="52">
        <f t="shared" si="28"/>
        <v>72128.03664921467</v>
      </c>
      <c r="AC68" s="52">
        <f t="shared" si="29"/>
        <v>8199.20436963351</v>
      </c>
      <c r="AD68" s="52">
        <f t="shared" si="30"/>
        <v>31208.1</v>
      </c>
      <c r="AE68" s="3">
        <f t="shared" si="31"/>
        <v>250068.27999999997</v>
      </c>
      <c r="AF68" s="5">
        <f t="shared" si="32"/>
        <v>0</v>
      </c>
      <c r="AG68" s="24">
        <f t="shared" si="35"/>
        <v>361603.62101884815</v>
      </c>
      <c r="AH68" s="53">
        <f t="shared" si="36"/>
        <v>0.19946713046176903</v>
      </c>
      <c r="AI68" s="53">
        <f t="shared" si="37"/>
        <v>0.022674563784874643</v>
      </c>
      <c r="AJ68" s="53">
        <f t="shared" si="38"/>
        <v>0.08630472203809407</v>
      </c>
      <c r="AK68" s="53">
        <f t="shared" si="39"/>
        <v>0.6915535837152622</v>
      </c>
      <c r="AL68" s="53">
        <f t="shared" si="40"/>
        <v>0</v>
      </c>
      <c r="AM68" s="1">
        <f t="shared" si="33"/>
        <v>59420.454545454544</v>
      </c>
      <c r="AN68" s="1">
        <f t="shared" si="34"/>
        <v>129144.15036387435</v>
      </c>
    </row>
    <row r="69" spans="2:40" ht="12.75">
      <c r="B69" s="122">
        <f t="shared" si="16"/>
        <v>39225.00824165818</v>
      </c>
      <c r="C69">
        <v>5</v>
      </c>
      <c r="D69" s="2">
        <v>0.011</v>
      </c>
      <c r="E69">
        <v>0.6</v>
      </c>
      <c r="F69">
        <f t="shared" si="17"/>
        <v>25.400000000000013</v>
      </c>
      <c r="G69" s="1">
        <f t="shared" si="2"/>
        <v>1179.6576000000005</v>
      </c>
      <c r="H69" s="1">
        <f t="shared" si="18"/>
        <v>34.847999999999956</v>
      </c>
      <c r="I69">
        <v>25</v>
      </c>
      <c r="J69" s="64">
        <f t="shared" si="26"/>
        <v>25</v>
      </c>
      <c r="K69" s="117">
        <f t="shared" si="4"/>
        <v>0.001</v>
      </c>
      <c r="L69" s="1">
        <f t="shared" si="5"/>
        <v>223434.3900973822</v>
      </c>
      <c r="M69" s="1">
        <f t="shared" si="6"/>
        <v>18135.908287125178</v>
      </c>
      <c r="N69" s="1">
        <f t="shared" si="27"/>
        <v>21000</v>
      </c>
      <c r="O69" s="74">
        <f t="shared" si="20"/>
        <v>0.8636146803392941</v>
      </c>
      <c r="P69" s="84">
        <f t="shared" si="8"/>
        <v>7</v>
      </c>
      <c r="Q69" s="1">
        <f t="shared" si="41"/>
        <v>24.651899999999998</v>
      </c>
      <c r="R69" s="1">
        <f t="shared" si="19"/>
        <v>964.58849955547</v>
      </c>
      <c r="S69" s="1">
        <f t="shared" si="10"/>
        <v>41.0865</v>
      </c>
      <c r="T69" s="60">
        <f t="shared" si="11"/>
        <v>49.303799999999995</v>
      </c>
      <c r="U69" s="101">
        <f t="shared" si="12"/>
        <v>3725.6217277486912</v>
      </c>
      <c r="V69" s="102">
        <f t="shared" si="13"/>
        <v>8199.20436963351</v>
      </c>
      <c r="W69" s="102">
        <f t="shared" si="14"/>
        <v>7092.75</v>
      </c>
      <c r="X69" s="102">
        <f t="shared" si="1"/>
        <v>125034.13999999998</v>
      </c>
      <c r="Y69" s="103">
        <f t="shared" si="15"/>
        <v>79382.674</v>
      </c>
      <c r="AA69">
        <v>115</v>
      </c>
      <c r="AB69" s="52">
        <f t="shared" si="28"/>
        <v>78834.1557591623</v>
      </c>
      <c r="AC69" s="52">
        <f t="shared" si="29"/>
        <v>8199.20436963351</v>
      </c>
      <c r="AD69" s="52">
        <f t="shared" si="30"/>
        <v>32626.65</v>
      </c>
      <c r="AE69" s="3">
        <f t="shared" si="31"/>
        <v>250068.27999999997</v>
      </c>
      <c r="AF69" s="5">
        <f t="shared" si="32"/>
        <v>0</v>
      </c>
      <c r="AG69" s="24">
        <f t="shared" si="35"/>
        <v>369728.2901287958</v>
      </c>
      <c r="AH69" s="53">
        <f t="shared" si="36"/>
        <v>0.21322186552643896</v>
      </c>
      <c r="AI69" s="53">
        <f t="shared" si="37"/>
        <v>0.022176296995767612</v>
      </c>
      <c r="AJ69" s="53">
        <f t="shared" si="38"/>
        <v>0.0882449378938096</v>
      </c>
      <c r="AK69" s="53">
        <f t="shared" si="39"/>
        <v>0.6763568995839838</v>
      </c>
      <c r="AL69" s="53">
        <f t="shared" si="40"/>
        <v>0</v>
      </c>
      <c r="AM69" s="1">
        <f t="shared" si="33"/>
        <v>56836.95652173913</v>
      </c>
      <c r="AN69" s="1">
        <f t="shared" si="34"/>
        <v>138047.90053510232</v>
      </c>
    </row>
    <row r="70" spans="2:40" ht="12.75">
      <c r="B70" s="122">
        <f t="shared" si="16"/>
        <v>39225.008936102626</v>
      </c>
      <c r="C70">
        <v>0</v>
      </c>
      <c r="D70" s="2">
        <v>0.003</v>
      </c>
      <c r="E70">
        <v>0.5</v>
      </c>
      <c r="F70">
        <f t="shared" si="17"/>
        <v>25.900000000000013</v>
      </c>
      <c r="G70" s="1">
        <f t="shared" si="2"/>
        <v>1187.5776000000005</v>
      </c>
      <c r="H70" s="1">
        <f t="shared" si="18"/>
        <v>7.920000000000073</v>
      </c>
      <c r="I70">
        <v>30</v>
      </c>
      <c r="J70" s="64">
        <f t="shared" si="26"/>
        <v>30</v>
      </c>
      <c r="K70" s="117">
        <f t="shared" si="4"/>
        <v>0.0006944444444444445</v>
      </c>
      <c r="L70" s="1">
        <f t="shared" si="5"/>
        <v>135555.61965759163</v>
      </c>
      <c r="M70" s="1">
        <f t="shared" si="6"/>
        <v>13203.469447168016</v>
      </c>
      <c r="N70" s="1">
        <f t="shared" si="27"/>
        <v>21000</v>
      </c>
      <c r="O70" s="74">
        <f t="shared" si="20"/>
        <v>0.6287366403413341</v>
      </c>
      <c r="P70" s="84">
        <f t="shared" si="8"/>
        <v>5</v>
      </c>
      <c r="Q70" s="1">
        <f t="shared" si="41"/>
        <v>12.228125</v>
      </c>
      <c r="R70" s="1">
        <f t="shared" si="19"/>
        <v>976.81662455547</v>
      </c>
      <c r="S70" s="1">
        <f t="shared" si="10"/>
        <v>24.45625</v>
      </c>
      <c r="T70" s="60">
        <f t="shared" si="11"/>
        <v>24.45625</v>
      </c>
      <c r="U70" s="101">
        <f t="shared" si="12"/>
        <v>5364.895287958116</v>
      </c>
      <c r="V70" s="102">
        <f t="shared" si="13"/>
        <v>8199.20436963351</v>
      </c>
      <c r="W70" s="102">
        <f t="shared" si="14"/>
        <v>8511.3</v>
      </c>
      <c r="X70" s="102">
        <f t="shared" si="1"/>
        <v>34100.22</v>
      </c>
      <c r="Y70" s="103">
        <f t="shared" si="15"/>
        <v>79380</v>
      </c>
      <c r="AA70">
        <v>120</v>
      </c>
      <c r="AB70" s="52">
        <f t="shared" si="28"/>
        <v>85838.32460732985</v>
      </c>
      <c r="AC70" s="52">
        <f t="shared" si="29"/>
        <v>8199.20436963351</v>
      </c>
      <c r="AD70" s="52">
        <f t="shared" si="30"/>
        <v>34045.2</v>
      </c>
      <c r="AE70" s="3">
        <f t="shared" si="31"/>
        <v>250068.27999999997</v>
      </c>
      <c r="AF70" s="5">
        <f t="shared" si="32"/>
        <v>0</v>
      </c>
      <c r="AG70" s="24">
        <f t="shared" si="35"/>
        <v>378151.00897696335</v>
      </c>
      <c r="AH70" s="53">
        <f t="shared" si="36"/>
        <v>0.22699483161384093</v>
      </c>
      <c r="AI70" s="53">
        <f t="shared" si="37"/>
        <v>0.021682354866156123</v>
      </c>
      <c r="AJ70" s="53">
        <f t="shared" si="38"/>
        <v>0.09003069988390273</v>
      </c>
      <c r="AK70" s="53">
        <f t="shared" si="39"/>
        <v>0.6612921136361002</v>
      </c>
      <c r="AL70" s="53">
        <f t="shared" si="40"/>
        <v>0</v>
      </c>
      <c r="AM70" s="1">
        <f t="shared" si="33"/>
        <v>54468.75</v>
      </c>
      <c r="AN70" s="1">
        <f t="shared" si="34"/>
        <v>147331.56193907664</v>
      </c>
    </row>
    <row r="71" spans="2:40" ht="12.75">
      <c r="B71" s="122">
        <f t="shared" si="16"/>
        <v>39225.00918610262</v>
      </c>
      <c r="C71">
        <v>2</v>
      </c>
      <c r="D71" s="2">
        <v>0.002</v>
      </c>
      <c r="E71">
        <v>0.3</v>
      </c>
      <c r="F71">
        <f t="shared" si="17"/>
        <v>26.200000000000014</v>
      </c>
      <c r="G71" s="1">
        <f t="shared" si="2"/>
        <v>1190.7456000000004</v>
      </c>
      <c r="H71" s="1">
        <f t="shared" si="18"/>
        <v>3.1679999999998927</v>
      </c>
      <c r="I71">
        <v>50</v>
      </c>
      <c r="J71" s="64">
        <f t="shared" si="26"/>
        <v>50.00000000000001</v>
      </c>
      <c r="K71" s="117">
        <f t="shared" si="4"/>
        <v>0.00024999999999999995</v>
      </c>
      <c r="L71" s="1">
        <f t="shared" si="5"/>
        <v>91773.74088062828</v>
      </c>
      <c r="M71" s="1">
        <f t="shared" si="6"/>
        <v>14898.334558543553</v>
      </c>
      <c r="N71" s="1">
        <f t="shared" si="27"/>
        <v>21000</v>
      </c>
      <c r="O71" s="74">
        <f t="shared" si="20"/>
        <v>0.7094445027877883</v>
      </c>
      <c r="P71" s="84">
        <f t="shared" si="8"/>
        <v>5</v>
      </c>
      <c r="Q71" s="1">
        <f t="shared" si="41"/>
        <v>4.402125</v>
      </c>
      <c r="R71" s="1">
        <f t="shared" si="19"/>
        <v>981.2187495554699</v>
      </c>
      <c r="S71" s="1">
        <f t="shared" si="10"/>
        <v>14.67375</v>
      </c>
      <c r="T71" s="60">
        <f t="shared" si="11"/>
        <v>8.80425</v>
      </c>
      <c r="U71" s="101">
        <f t="shared" si="12"/>
        <v>14902.486910994765</v>
      </c>
      <c r="V71" s="102">
        <f t="shared" si="13"/>
        <v>8199.20436963351</v>
      </c>
      <c r="W71" s="102">
        <f t="shared" si="14"/>
        <v>14185.5</v>
      </c>
      <c r="X71" s="102">
        <f t="shared" si="1"/>
        <v>22733.48</v>
      </c>
      <c r="Y71" s="103">
        <f t="shared" si="15"/>
        <v>31753.0696</v>
      </c>
      <c r="AA71">
        <v>125</v>
      </c>
      <c r="AB71" s="52">
        <f t="shared" si="28"/>
        <v>93140.54319371728</v>
      </c>
      <c r="AC71" s="52">
        <f t="shared" si="29"/>
        <v>8199.20436963351</v>
      </c>
      <c r="AD71" s="52">
        <f t="shared" si="30"/>
        <v>35463.75</v>
      </c>
      <c r="AE71" s="3">
        <f t="shared" si="31"/>
        <v>250068.27999999997</v>
      </c>
      <c r="AF71" s="5">
        <f t="shared" si="32"/>
        <v>0</v>
      </c>
      <c r="AG71" s="24">
        <f t="shared" si="35"/>
        <v>386871.77756335074</v>
      </c>
      <c r="AH71" s="53">
        <f t="shared" si="36"/>
        <v>0.24075300550572057</v>
      </c>
      <c r="AI71" s="53">
        <f t="shared" si="37"/>
        <v>0.021193596548383216</v>
      </c>
      <c r="AJ71" s="53">
        <f t="shared" si="38"/>
        <v>0.09166796870881275</v>
      </c>
      <c r="AK71" s="53">
        <f t="shared" si="39"/>
        <v>0.6463854292370835</v>
      </c>
      <c r="AL71" s="53">
        <f t="shared" si="40"/>
        <v>0</v>
      </c>
      <c r="AM71" s="1">
        <f t="shared" si="33"/>
        <v>52290</v>
      </c>
      <c r="AN71" s="1">
        <f t="shared" si="34"/>
        <v>157009.6499851261</v>
      </c>
    </row>
    <row r="72" spans="2:40" ht="12.75">
      <c r="B72" s="122">
        <f t="shared" si="16"/>
        <v>39225.00967221373</v>
      </c>
      <c r="C72">
        <v>0</v>
      </c>
      <c r="D72" s="2">
        <v>0</v>
      </c>
      <c r="E72">
        <v>0.7</v>
      </c>
      <c r="F72">
        <f t="shared" si="17"/>
        <v>26.900000000000013</v>
      </c>
      <c r="G72" s="1">
        <f t="shared" si="2"/>
        <v>1190.7456000000004</v>
      </c>
      <c r="H72" s="1">
        <f t="shared" si="18"/>
        <v>0</v>
      </c>
      <c r="I72">
        <v>60</v>
      </c>
      <c r="J72" s="64">
        <f t="shared" si="26"/>
        <v>60.000000000000014</v>
      </c>
      <c r="K72" s="117">
        <f t="shared" si="4"/>
        <v>0.000486111111111111</v>
      </c>
      <c r="L72" s="1">
        <f t="shared" si="5"/>
        <v>46681.38552146597</v>
      </c>
      <c r="M72" s="1">
        <f t="shared" si="6"/>
        <v>9093.77640028558</v>
      </c>
      <c r="N72" s="1">
        <f t="shared" si="27"/>
        <v>21000</v>
      </c>
      <c r="O72" s="74">
        <f t="shared" si="20"/>
        <v>0.43303697144217046</v>
      </c>
      <c r="P72" s="84">
        <f t="shared" si="8"/>
        <v>4</v>
      </c>
      <c r="Q72" s="1">
        <f t="shared" si="41"/>
        <v>6.847749999999997</v>
      </c>
      <c r="R72" s="1">
        <f t="shared" si="19"/>
        <v>988.0664995554699</v>
      </c>
      <c r="S72" s="1">
        <f t="shared" si="10"/>
        <v>9.782499999999995</v>
      </c>
      <c r="T72" s="60">
        <f t="shared" si="11"/>
        <v>13.695499999999994</v>
      </c>
      <c r="U72" s="101">
        <f>$AB$11*((VLOOKUP($AB$10,$AA$36:$AI$44,7,0)*VLOOKUP($AB$10,$AA$36:$AI$44,5,0)*I72*I72)/(VLOOKUP($AB$10,$AA$36:$AI$44,9,0)/VLOOKUP($AB$10,$AA$36:$AI$44,8,0))/VLOOKUP($AB$10,$AA$36:$AI$44,8,0))+((VLOOKUP($AB$12,$AA$27:$AH$33,4,0)*VLOOKUP($AB$12,$AA$27:$AH$33,5,0)*I72*I72)/(((VLOOKUP($AB$12,$AA$27:$AH$33,7,0)/2000))/((VLOOKUP($AB$12,$AA$27:$AH$33,8,0))))/VLOOKUP($AB$12,$AA$27:$AH$33,8,0))*$AE$7</f>
        <v>21459.581151832463</v>
      </c>
      <c r="V72" s="102">
        <f t="shared" si="13"/>
        <v>8199.20436963351</v>
      </c>
      <c r="W72" s="102">
        <f t="shared" si="14"/>
        <v>17022.6</v>
      </c>
      <c r="X72" s="102">
        <f t="shared" si="1"/>
        <v>0</v>
      </c>
      <c r="Y72" s="103">
        <f t="shared" si="15"/>
        <v>0</v>
      </c>
      <c r="AA72">
        <v>130</v>
      </c>
      <c r="AB72" s="52">
        <f t="shared" si="28"/>
        <v>100740.81151832461</v>
      </c>
      <c r="AC72" s="52">
        <f t="shared" si="29"/>
        <v>8199.20436963351</v>
      </c>
      <c r="AD72" s="52">
        <f t="shared" si="30"/>
        <v>36882.3</v>
      </c>
      <c r="AE72" s="3">
        <f t="shared" si="31"/>
        <v>250068.27999999997</v>
      </c>
      <c r="AF72" s="5">
        <f t="shared" si="32"/>
        <v>0</v>
      </c>
      <c r="AG72" s="24">
        <f t="shared" si="35"/>
        <v>395890.5958879581</v>
      </c>
      <c r="AH72" s="53">
        <f t="shared" si="36"/>
        <v>0.25446629085080746</v>
      </c>
      <c r="AI72" s="53">
        <f t="shared" si="37"/>
        <v>0.020710783369943916</v>
      </c>
      <c r="AJ72" s="53">
        <f t="shared" si="38"/>
        <v>0.09316285959578123</v>
      </c>
      <c r="AK72" s="53">
        <f t="shared" si="39"/>
        <v>0.6316600661834675</v>
      </c>
      <c r="AL72" s="53">
        <f t="shared" si="40"/>
        <v>0</v>
      </c>
      <c r="AM72" s="1">
        <f t="shared" si="33"/>
        <v>50278.846153846156</v>
      </c>
      <c r="AN72" s="1">
        <f t="shared" si="34"/>
        <v>167096.68008257973</v>
      </c>
    </row>
    <row r="73" spans="2:40" ht="12.75">
      <c r="B73" s="122">
        <f t="shared" si="16"/>
        <v>39225.01015832484</v>
      </c>
      <c r="C73">
        <v>0</v>
      </c>
      <c r="D73" s="2">
        <v>0</v>
      </c>
      <c r="E73">
        <v>0.7</v>
      </c>
      <c r="F73">
        <f t="shared" si="17"/>
        <v>27.600000000000012</v>
      </c>
      <c r="G73" s="1">
        <f t="shared" si="2"/>
        <v>1190.7456000000004</v>
      </c>
      <c r="H73" s="1">
        <f t="shared" si="18"/>
        <v>0</v>
      </c>
      <c r="I73">
        <v>60</v>
      </c>
      <c r="J73" s="64">
        <f>IF(M73&lt;=N73,M73/L73*308,N73/L73*308)</f>
        <v>60.000000000000014</v>
      </c>
      <c r="K73" s="117">
        <f t="shared" si="4"/>
        <v>0.000486111111111111</v>
      </c>
      <c r="L73" s="1">
        <f t="shared" si="5"/>
        <v>46681.38552146597</v>
      </c>
      <c r="M73" s="1">
        <f t="shared" si="6"/>
        <v>9093.77640028558</v>
      </c>
      <c r="N73" s="1">
        <f t="shared" si="27"/>
        <v>21000</v>
      </c>
      <c r="O73" s="74">
        <f t="shared" si="20"/>
        <v>0.43303697144217046</v>
      </c>
      <c r="P73" s="84">
        <f t="shared" si="8"/>
        <v>4</v>
      </c>
      <c r="Q73" s="1">
        <f t="shared" si="41"/>
        <v>6.847749999999997</v>
      </c>
      <c r="R73" s="1">
        <f t="shared" si="19"/>
        <v>994.91424955547</v>
      </c>
      <c r="S73" s="1">
        <f t="shared" si="10"/>
        <v>9.782499999999995</v>
      </c>
      <c r="T73" s="60">
        <f t="shared" si="11"/>
        <v>13.695499999999994</v>
      </c>
      <c r="U73" s="101">
        <f t="shared" si="12"/>
        <v>21459.581151832463</v>
      </c>
      <c r="V73" s="102">
        <f t="shared" si="13"/>
        <v>8199.20436963351</v>
      </c>
      <c r="W73" s="102">
        <f t="shared" si="14"/>
        <v>17022.6</v>
      </c>
      <c r="X73" s="102">
        <f t="shared" si="1"/>
        <v>0</v>
      </c>
      <c r="Y73" s="103">
        <f t="shared" si="15"/>
        <v>0</v>
      </c>
      <c r="AB73" s="76"/>
      <c r="AC73" s="76"/>
      <c r="AD73" s="76"/>
      <c r="AE73" s="77"/>
      <c r="AF73" s="78"/>
      <c r="AG73" s="24"/>
      <c r="AH73" s="53"/>
      <c r="AI73" s="53"/>
      <c r="AJ73" s="53"/>
      <c r="AK73" s="53"/>
      <c r="AL73" s="53"/>
      <c r="AM73" s="1"/>
      <c r="AN73" s="1"/>
    </row>
    <row r="74" spans="2:40" ht="12.75">
      <c r="B74" s="122">
        <f t="shared" si="16"/>
        <v>39225.01043610262</v>
      </c>
      <c r="C74">
        <v>0</v>
      </c>
      <c r="D74" s="2">
        <v>0</v>
      </c>
      <c r="E74">
        <v>0.4</v>
      </c>
      <c r="F74">
        <f t="shared" si="17"/>
        <v>28.00000000000001</v>
      </c>
      <c r="G74" s="1">
        <f t="shared" si="2"/>
        <v>1190.7456000000004</v>
      </c>
      <c r="H74" s="1">
        <f t="shared" si="18"/>
        <v>0</v>
      </c>
      <c r="I74">
        <v>60</v>
      </c>
      <c r="J74" s="64">
        <f t="shared" si="26"/>
        <v>60.000000000000014</v>
      </c>
      <c r="K74" s="117">
        <f t="shared" si="4"/>
        <v>0.0002777777777777777</v>
      </c>
      <c r="L74" s="1">
        <f aca="true" t="shared" si="42" ref="L74:L100">SUM(U74:Y74)</f>
        <v>46681.38552146597</v>
      </c>
      <c r="M74" s="1">
        <f t="shared" si="6"/>
        <v>9093.77640028558</v>
      </c>
      <c r="N74" s="1">
        <f t="shared" si="27"/>
        <v>21000</v>
      </c>
      <c r="O74" s="74">
        <f aca="true" t="shared" si="43" ref="O74:O100">M74/N74</f>
        <v>0.43303697144217046</v>
      </c>
      <c r="P74" s="84">
        <f t="shared" si="8"/>
        <v>4</v>
      </c>
      <c r="Q74" s="1">
        <f aca="true" t="shared" si="44" ref="Q74:Q100">IF($AB$11*E74/J74*VLOOKUP($AB$10,$AA$34:$AQ$44,MATCH(P74,$AA$34:$AQ$34,),0)&gt;0,$AB$11*E74/J74*VLOOKUP($AB$10,$AA$34:$AQ$44,MATCH(P74,$AA$34:$AQ$34,),0),0)</f>
        <v>3.9129999999999994</v>
      </c>
      <c r="R74" s="1">
        <f t="shared" si="19"/>
        <v>998.82724955547</v>
      </c>
      <c r="S74" s="1">
        <f t="shared" si="10"/>
        <v>9.782499999999997</v>
      </c>
      <c r="T74" s="60">
        <f t="shared" si="11"/>
        <v>7.825999999999999</v>
      </c>
      <c r="U74" s="101">
        <f aca="true" t="shared" si="45" ref="U74:U100">$AB$11*((VLOOKUP($AB$10,$AA$36:$AI$44,7,0)*VLOOKUP($AB$10,$AA$36:$AI$44,5,0)*I74*I74)/(VLOOKUP($AB$10,$AA$36:$AI$44,9,0)/VLOOKUP($AB$10,$AA$36:$AI$44,8,0))/VLOOKUP($AB$10,$AA$36:$AI$44,8,0))+((VLOOKUP($AB$12,$AA$27:$AH$33,4,0)*VLOOKUP($AB$12,$AA$27:$AH$33,5,0)*I74*I74)/(((VLOOKUP($AB$12,$AA$27:$AH$33,7,0)/2000))/((VLOOKUP($AB$12,$AA$27:$AH$33,8,0))))/VLOOKUP($AB$12,$AA$27:$AH$33,8,0))*$AE$7</f>
        <v>21459.581151832463</v>
      </c>
      <c r="V74" s="102">
        <f t="shared" si="13"/>
        <v>8199.20436963351</v>
      </c>
      <c r="W74" s="102">
        <f aca="true" t="shared" si="46" ref="W74:W100">$AB$11*(VLOOKUP($AB$10,$AA$36:$AI$44,6,0)*I74)+(VLOOKUP($AB$12,$AA$27:$AH$33,3,0)*I74)*$AE$7</f>
        <v>17022.6</v>
      </c>
      <c r="X74" s="102">
        <f aca="true" t="shared" si="47" ref="X74:X100">$AB$11*(20*D74*(VLOOKUP($AB$10,$AA$36:$AI$44,9,0)))+(20*D74*(VLOOKUP($AB$12,$AA$26:$AH$33,7,0)/2000))*$AE$7</f>
        <v>0</v>
      </c>
      <c r="Y74" s="103">
        <f t="shared" si="15"/>
        <v>0</v>
      </c>
      <c r="AB74" s="76"/>
      <c r="AC74" s="76"/>
      <c r="AD74" s="76"/>
      <c r="AE74" s="77"/>
      <c r="AF74" s="78"/>
      <c r="AG74" s="24"/>
      <c r="AH74" s="53"/>
      <c r="AI74" s="53"/>
      <c r="AJ74" s="53"/>
      <c r="AK74" s="53"/>
      <c r="AL74" s="53"/>
      <c r="AM74" s="1"/>
      <c r="AN74" s="1"/>
    </row>
    <row r="75" spans="2:40" ht="12.75">
      <c r="B75" s="122">
        <f aca="true" t="shared" si="48" ref="B75:B138">(B74+(K75))</f>
        <v>39225.01078332484</v>
      </c>
      <c r="C75">
        <v>0</v>
      </c>
      <c r="D75" s="2">
        <v>0</v>
      </c>
      <c r="E75">
        <v>0.5</v>
      </c>
      <c r="F75">
        <f t="shared" si="17"/>
        <v>28.50000000000001</v>
      </c>
      <c r="G75" s="1">
        <f aca="true" t="shared" si="49" ref="G75:G138">G74+E75*D75*5280</f>
        <v>1190.7456000000004</v>
      </c>
      <c r="H75" s="1">
        <f t="shared" si="18"/>
        <v>0</v>
      </c>
      <c r="I75">
        <v>60</v>
      </c>
      <c r="J75" s="64">
        <f t="shared" si="26"/>
        <v>60.000000000000014</v>
      </c>
      <c r="K75" s="117">
        <f aca="true" t="shared" si="50" ref="K75:K80">(E75/J75)/24</f>
        <v>0.0003472222222222221</v>
      </c>
      <c r="L75" s="1">
        <f t="shared" si="42"/>
        <v>46681.38552146597</v>
      </c>
      <c r="M75" s="1">
        <f aca="true" t="shared" si="51" ref="M75:M90">$L75*$I75/308</f>
        <v>9093.77640028558</v>
      </c>
      <c r="N75" s="1">
        <f t="shared" si="27"/>
        <v>21000</v>
      </c>
      <c r="O75" s="74">
        <f t="shared" si="43"/>
        <v>0.43303697144217046</v>
      </c>
      <c r="P75" s="84">
        <f aca="true" t="shared" si="52" ref="P75:P121">ROUNDUP(IF(M75/N75*9&gt;=8,8,IF(M75/N75*10&gt;0,(M75-M75*0.3)/N75*10,1)),0)</f>
        <v>4</v>
      </c>
      <c r="Q75" s="1">
        <f t="shared" si="44"/>
        <v>4.8912499999999985</v>
      </c>
      <c r="R75" s="1">
        <f t="shared" si="19"/>
        <v>1003.71849955547</v>
      </c>
      <c r="S75" s="1">
        <f aca="true" t="shared" si="53" ref="S75:S100">Q75/E75</f>
        <v>9.782499999999997</v>
      </c>
      <c r="T75" s="60">
        <f aca="true" t="shared" si="54" ref="T75:T138">Q75*$AB$15</f>
        <v>9.782499999999997</v>
      </c>
      <c r="U75" s="101">
        <f t="shared" si="45"/>
        <v>21459.581151832463</v>
      </c>
      <c r="V75" s="102">
        <f aca="true" t="shared" si="55" ref="V75:V138">$AB$11*(1.3+0.29/((VLOOKUP($AB$10,$AA$36:$AI$44,9,0))/VLOOKUP($AB$10,$AA$36:$AI$44,8,0)))+(1.3+0.29/((VLOOKUP($AB$12,$AA$27:$AH$33,7,0))/VLOOKUP($AB$12,$AA$27:$AH$33,8,0)))*$AE$7</f>
        <v>8199.20436963351</v>
      </c>
      <c r="W75" s="102">
        <f t="shared" si="46"/>
        <v>17022.6</v>
      </c>
      <c r="X75" s="102">
        <f t="shared" si="47"/>
        <v>0</v>
      </c>
      <c r="Y75" s="103">
        <f aca="true" t="shared" si="56" ref="Y75:Y138">(IF(E75*5280&lt;$AE$8,($AB$14*(0.8*C74*((VLOOKUP($AB$12,$AA$27:$AH$33,7,0))/2000/2000))*$AE$7),0)+$AB$11*(0.8*C75*(VLOOKUP($AB$10,$AA$36:$AI$44,9,0))/2000)+$AB$14*(0.8*C75*((VLOOKUP($AB$12,$AA$27:$AH$33,7,0))/2000/2000))*$AE$7)</f>
        <v>0</v>
      </c>
      <c r="AB75" s="76"/>
      <c r="AC75" s="76"/>
      <c r="AD75" s="76"/>
      <c r="AE75" s="77"/>
      <c r="AF75" s="78"/>
      <c r="AG75" s="24"/>
      <c r="AH75" s="53"/>
      <c r="AI75" s="53"/>
      <c r="AJ75" s="53"/>
      <c r="AK75" s="53"/>
      <c r="AL75" s="53"/>
      <c r="AM75" s="1"/>
      <c r="AN75" s="1"/>
    </row>
    <row r="76" spans="2:40" ht="12.75">
      <c r="B76" s="122">
        <f t="shared" si="48"/>
        <v>39225.01126943595</v>
      </c>
      <c r="C76">
        <v>0</v>
      </c>
      <c r="D76" s="2">
        <v>0</v>
      </c>
      <c r="E76">
        <v>0.7</v>
      </c>
      <c r="F76">
        <f>E76+F75</f>
        <v>29.20000000000001</v>
      </c>
      <c r="G76" s="1">
        <f t="shared" si="49"/>
        <v>1190.7456000000004</v>
      </c>
      <c r="H76" s="1">
        <f>IF(G76-G75&gt;0,G76-G75,0)</f>
        <v>0</v>
      </c>
      <c r="I76">
        <v>60</v>
      </c>
      <c r="J76" s="64">
        <f t="shared" si="26"/>
        <v>60.000000000000014</v>
      </c>
      <c r="K76" s="117">
        <f t="shared" si="50"/>
        <v>0.000486111111111111</v>
      </c>
      <c r="L76" s="1">
        <f t="shared" si="42"/>
        <v>46681.38552146597</v>
      </c>
      <c r="M76" s="1">
        <f t="shared" si="51"/>
        <v>9093.77640028558</v>
      </c>
      <c r="N76" s="1">
        <f t="shared" si="27"/>
        <v>21000</v>
      </c>
      <c r="O76" s="74">
        <f t="shared" si="43"/>
        <v>0.43303697144217046</v>
      </c>
      <c r="P76" s="84">
        <f t="shared" si="52"/>
        <v>4</v>
      </c>
      <c r="Q76" s="1">
        <f t="shared" si="44"/>
        <v>6.847749999999997</v>
      </c>
      <c r="R76" s="1">
        <f aca="true" t="shared" si="57" ref="R76:R100">Q76+R75</f>
        <v>1010.56624955547</v>
      </c>
      <c r="S76" s="1">
        <f t="shared" si="53"/>
        <v>9.782499999999995</v>
      </c>
      <c r="T76" s="60">
        <f t="shared" si="54"/>
        <v>13.695499999999994</v>
      </c>
      <c r="U76" s="101">
        <f t="shared" si="45"/>
        <v>21459.581151832463</v>
      </c>
      <c r="V76" s="102">
        <f t="shared" si="55"/>
        <v>8199.20436963351</v>
      </c>
      <c r="W76" s="102">
        <f t="shared" si="46"/>
        <v>17022.6</v>
      </c>
      <c r="X76" s="102">
        <f t="shared" si="47"/>
        <v>0</v>
      </c>
      <c r="Y76" s="103">
        <f t="shared" si="56"/>
        <v>0</v>
      </c>
      <c r="AB76" s="76"/>
      <c r="AC76" s="76"/>
      <c r="AD76" s="76"/>
      <c r="AE76" s="77"/>
      <c r="AF76" s="78"/>
      <c r="AG76" s="24"/>
      <c r="AH76" s="53"/>
      <c r="AI76" s="53"/>
      <c r="AJ76" s="53"/>
      <c r="AK76" s="53"/>
      <c r="AL76" s="53"/>
      <c r="AM76" s="1"/>
      <c r="AN76" s="1"/>
    </row>
    <row r="77" spans="2:40" ht="12.75">
      <c r="B77" s="122">
        <f t="shared" si="48"/>
        <v>39225.01175554706</v>
      </c>
      <c r="C77">
        <v>0</v>
      </c>
      <c r="D77" s="2">
        <v>0</v>
      </c>
      <c r="E77">
        <v>0.7</v>
      </c>
      <c r="F77">
        <f>E77+F76</f>
        <v>29.90000000000001</v>
      </c>
      <c r="G77" s="1">
        <f t="shared" si="49"/>
        <v>1190.7456000000004</v>
      </c>
      <c r="H77" s="1">
        <f>IF(G77-G76&gt;0,G77-G76,0)</f>
        <v>0</v>
      </c>
      <c r="I77">
        <v>60</v>
      </c>
      <c r="J77" s="64">
        <f t="shared" si="26"/>
        <v>60.000000000000014</v>
      </c>
      <c r="K77" s="117">
        <f t="shared" si="50"/>
        <v>0.000486111111111111</v>
      </c>
      <c r="L77" s="1">
        <f t="shared" si="42"/>
        <v>46681.38552146597</v>
      </c>
      <c r="M77" s="1">
        <f t="shared" si="51"/>
        <v>9093.77640028558</v>
      </c>
      <c r="N77" s="1">
        <f t="shared" si="27"/>
        <v>21000</v>
      </c>
      <c r="O77" s="74">
        <f t="shared" si="43"/>
        <v>0.43303697144217046</v>
      </c>
      <c r="P77" s="84">
        <f t="shared" si="52"/>
        <v>4</v>
      </c>
      <c r="Q77" s="1">
        <f t="shared" si="44"/>
        <v>6.847749999999997</v>
      </c>
      <c r="R77" s="1">
        <f t="shared" si="57"/>
        <v>1017.41399955547</v>
      </c>
      <c r="S77" s="1">
        <f t="shared" si="53"/>
        <v>9.782499999999995</v>
      </c>
      <c r="T77" s="60">
        <f t="shared" si="54"/>
        <v>13.695499999999994</v>
      </c>
      <c r="U77" s="101">
        <f t="shared" si="45"/>
        <v>21459.581151832463</v>
      </c>
      <c r="V77" s="102">
        <f t="shared" si="55"/>
        <v>8199.20436963351</v>
      </c>
      <c r="W77" s="102">
        <f t="shared" si="46"/>
        <v>17022.6</v>
      </c>
      <c r="X77" s="102">
        <f t="shared" si="47"/>
        <v>0</v>
      </c>
      <c r="Y77" s="103">
        <f t="shared" si="56"/>
        <v>0</v>
      </c>
      <c r="AB77" s="76"/>
      <c r="AC77" s="76"/>
      <c r="AD77" s="76"/>
      <c r="AE77" s="77"/>
      <c r="AF77" s="78"/>
      <c r="AG77" s="24"/>
      <c r="AH77" s="53"/>
      <c r="AI77" s="53"/>
      <c r="AJ77" s="53"/>
      <c r="AK77" s="53"/>
      <c r="AL77" s="53"/>
      <c r="AM77" s="1"/>
      <c r="AN77" s="1"/>
    </row>
    <row r="78" spans="2:40" ht="12.75">
      <c r="B78" s="122">
        <f t="shared" si="48"/>
        <v>39225.01217221373</v>
      </c>
      <c r="C78">
        <v>0</v>
      </c>
      <c r="D78" s="2">
        <v>0</v>
      </c>
      <c r="E78">
        <v>0.6</v>
      </c>
      <c r="F78">
        <f>E78+F77</f>
        <v>30.50000000000001</v>
      </c>
      <c r="G78" s="1">
        <f t="shared" si="49"/>
        <v>1190.7456000000004</v>
      </c>
      <c r="H78" s="1">
        <f>IF(G78-G77&gt;0,G78-G77,0)</f>
        <v>0</v>
      </c>
      <c r="I78">
        <v>60</v>
      </c>
      <c r="J78" s="64">
        <f t="shared" si="26"/>
        <v>60.000000000000014</v>
      </c>
      <c r="K78" s="117">
        <f t="shared" si="50"/>
        <v>0.00041666666666666653</v>
      </c>
      <c r="L78" s="1">
        <f t="shared" si="42"/>
        <v>46681.38552146597</v>
      </c>
      <c r="M78" s="1">
        <f t="shared" si="51"/>
        <v>9093.77640028558</v>
      </c>
      <c r="N78" s="1">
        <f t="shared" si="27"/>
        <v>21000</v>
      </c>
      <c r="O78" s="74">
        <f t="shared" si="43"/>
        <v>0.43303697144217046</v>
      </c>
      <c r="P78" s="84">
        <f t="shared" si="52"/>
        <v>4</v>
      </c>
      <c r="Q78" s="1">
        <f t="shared" si="44"/>
        <v>5.869499999999999</v>
      </c>
      <c r="R78" s="1">
        <f t="shared" si="57"/>
        <v>1023.28349955547</v>
      </c>
      <c r="S78" s="1">
        <f t="shared" si="53"/>
        <v>9.782499999999999</v>
      </c>
      <c r="T78" s="60">
        <f t="shared" si="54"/>
        <v>11.738999999999997</v>
      </c>
      <c r="U78" s="101">
        <f t="shared" si="45"/>
        <v>21459.581151832463</v>
      </c>
      <c r="V78" s="102">
        <f t="shared" si="55"/>
        <v>8199.20436963351</v>
      </c>
      <c r="W78" s="102">
        <f t="shared" si="46"/>
        <v>17022.6</v>
      </c>
      <c r="X78" s="102">
        <f t="shared" si="47"/>
        <v>0</v>
      </c>
      <c r="Y78" s="103">
        <f t="shared" si="56"/>
        <v>0</v>
      </c>
      <c r="AB78" s="76"/>
      <c r="AC78" s="76"/>
      <c r="AD78" s="76"/>
      <c r="AE78" s="77"/>
      <c r="AF78" s="78"/>
      <c r="AG78" s="24"/>
      <c r="AH78" s="53"/>
      <c r="AI78" s="53"/>
      <c r="AJ78" s="53"/>
      <c r="AK78" s="53"/>
      <c r="AL78" s="53"/>
      <c r="AM78" s="1"/>
      <c r="AN78" s="1"/>
    </row>
    <row r="79" spans="2:40" ht="12.75">
      <c r="B79" s="122">
        <f t="shared" si="48"/>
        <v>39225.01240294892</v>
      </c>
      <c r="C79">
        <v>1</v>
      </c>
      <c r="D79" s="2">
        <v>0.005</v>
      </c>
      <c r="E79">
        <v>0.3</v>
      </c>
      <c r="F79">
        <f>E79+F78</f>
        <v>30.80000000000001</v>
      </c>
      <c r="G79" s="1">
        <f t="shared" si="49"/>
        <v>1198.6656000000005</v>
      </c>
      <c r="H79" s="1">
        <f>IF(G79-G78&gt;0,G79-G78,0)</f>
        <v>7.920000000000073</v>
      </c>
      <c r="I79">
        <v>60</v>
      </c>
      <c r="J79" s="64">
        <f t="shared" si="26"/>
        <v>54.17465633337325</v>
      </c>
      <c r="K79" s="117">
        <f t="shared" si="50"/>
        <v>0.00023073519697253004</v>
      </c>
      <c r="L79" s="1">
        <f t="shared" si="42"/>
        <v>119391.62032146596</v>
      </c>
      <c r="M79" s="1">
        <f t="shared" si="51"/>
        <v>23258.107854831032</v>
      </c>
      <c r="N79" s="1">
        <f t="shared" si="27"/>
        <v>21000</v>
      </c>
      <c r="O79" s="74">
        <f t="shared" si="43"/>
        <v>1.1075289454681445</v>
      </c>
      <c r="P79" s="84">
        <f t="shared" si="52"/>
        <v>8</v>
      </c>
      <c r="Q79" s="1">
        <f t="shared" si="44"/>
        <v>6.500641145425273</v>
      </c>
      <c r="R79" s="1">
        <f t="shared" si="57"/>
        <v>1029.7841407008953</v>
      </c>
      <c r="S79" s="1">
        <f t="shared" si="53"/>
        <v>21.668803818084243</v>
      </c>
      <c r="T79" s="60">
        <f t="shared" si="54"/>
        <v>13.001282290850545</v>
      </c>
      <c r="U79" s="101">
        <f t="shared" si="45"/>
        <v>21459.581151832463</v>
      </c>
      <c r="V79" s="102">
        <f t="shared" si="55"/>
        <v>8199.20436963351</v>
      </c>
      <c r="W79" s="102">
        <f t="shared" si="46"/>
        <v>17022.6</v>
      </c>
      <c r="X79" s="102">
        <f t="shared" si="47"/>
        <v>56833.7</v>
      </c>
      <c r="Y79" s="103">
        <f t="shared" si="56"/>
        <v>15876.5348</v>
      </c>
      <c r="AB79" s="76"/>
      <c r="AC79" s="76"/>
      <c r="AD79" s="76"/>
      <c r="AE79" s="77"/>
      <c r="AF79" s="78"/>
      <c r="AG79" s="24"/>
      <c r="AH79" s="53"/>
      <c r="AI79" s="53"/>
      <c r="AJ79" s="53"/>
      <c r="AK79" s="53"/>
      <c r="AL79" s="53"/>
      <c r="AM79" s="1"/>
      <c r="AN79" s="1"/>
    </row>
    <row r="80" spans="2:40" ht="12.75">
      <c r="B80" s="122">
        <f t="shared" si="48"/>
        <v>39225.013027948924</v>
      </c>
      <c r="C80">
        <v>1</v>
      </c>
      <c r="D80" s="2">
        <v>-0.003</v>
      </c>
      <c r="E80">
        <v>0.9</v>
      </c>
      <c r="F80">
        <f aca="true" t="shared" si="58" ref="F80:F100">E80+F79</f>
        <v>31.70000000000001</v>
      </c>
      <c r="G80" s="1">
        <f t="shared" si="49"/>
        <v>1184.4096000000004</v>
      </c>
      <c r="H80" s="1">
        <f>IF(G80-G79&gt;0,G80-G79,0)</f>
        <v>0</v>
      </c>
      <c r="I80">
        <v>60</v>
      </c>
      <c r="J80" s="64">
        <f t="shared" si="26"/>
        <v>60</v>
      </c>
      <c r="K80" s="117">
        <f t="shared" si="50"/>
        <v>0.000625</v>
      </c>
      <c r="L80" s="1">
        <f t="shared" si="42"/>
        <v>28457.70032146597</v>
      </c>
      <c r="M80" s="1">
        <f>$L80*$I80/308</f>
        <v>5543.707854831034</v>
      </c>
      <c r="N80" s="1">
        <f t="shared" si="27"/>
        <v>21000</v>
      </c>
      <c r="O80" s="74">
        <f t="shared" si="43"/>
        <v>0.2639860883252873</v>
      </c>
      <c r="P80" s="84">
        <f t="shared" si="52"/>
        <v>2</v>
      </c>
      <c r="Q80" s="1">
        <f t="shared" si="44"/>
        <v>4.402125</v>
      </c>
      <c r="R80" s="1">
        <f t="shared" si="57"/>
        <v>1034.1862657008953</v>
      </c>
      <c r="S80" s="1">
        <f t="shared" si="53"/>
        <v>4.891249999999999</v>
      </c>
      <c r="T80" s="60">
        <f t="shared" si="54"/>
        <v>8.80425</v>
      </c>
      <c r="U80" s="101">
        <f t="shared" si="45"/>
        <v>21459.581151832463</v>
      </c>
      <c r="V80" s="102">
        <f t="shared" si="55"/>
        <v>8199.20436963351</v>
      </c>
      <c r="W80" s="102">
        <f t="shared" si="46"/>
        <v>17022.6</v>
      </c>
      <c r="X80" s="102">
        <f t="shared" si="47"/>
        <v>-34100.22</v>
      </c>
      <c r="Y80" s="103">
        <f t="shared" si="56"/>
        <v>15876.5348</v>
      </c>
      <c r="AB80" s="76"/>
      <c r="AC80" s="76"/>
      <c r="AD80" s="76"/>
      <c r="AE80" s="77"/>
      <c r="AF80" s="78"/>
      <c r="AG80" s="24"/>
      <c r="AH80" s="53"/>
      <c r="AI80" s="53"/>
      <c r="AJ80" s="53"/>
      <c r="AK80" s="53"/>
      <c r="AL80" s="53"/>
      <c r="AM80" s="1"/>
      <c r="AN80" s="1"/>
    </row>
    <row r="81" spans="2:40" ht="12.75">
      <c r="B81" s="122">
        <f t="shared" si="48"/>
        <v>39225.01351406003</v>
      </c>
      <c r="C81">
        <v>2</v>
      </c>
      <c r="D81" s="2">
        <v>0</v>
      </c>
      <c r="E81">
        <v>0.7</v>
      </c>
      <c r="F81">
        <f t="shared" si="58"/>
        <v>32.40000000000001</v>
      </c>
      <c r="G81" s="1">
        <f t="shared" si="49"/>
        <v>1184.4096000000004</v>
      </c>
      <c r="H81" s="1">
        <f aca="true" t="shared" si="59" ref="H81:H95">IF(G81-G80&gt;0,G81-G80,0)</f>
        <v>0</v>
      </c>
      <c r="I81">
        <v>60</v>
      </c>
      <c r="J81" s="64">
        <f t="shared" si="26"/>
        <v>60</v>
      </c>
      <c r="K81" s="117">
        <f aca="true" t="shared" si="60" ref="K81:K144">(E81/J81)/24</f>
        <v>0.00048611111111111104</v>
      </c>
      <c r="L81" s="1">
        <f t="shared" si="42"/>
        <v>78434.45512146597</v>
      </c>
      <c r="M81" s="1">
        <f t="shared" si="51"/>
        <v>15279.439309376488</v>
      </c>
      <c r="N81" s="1">
        <f t="shared" si="27"/>
        <v>21000</v>
      </c>
      <c r="O81" s="74">
        <f t="shared" si="43"/>
        <v>0.7275923480655471</v>
      </c>
      <c r="P81" s="84">
        <f t="shared" si="52"/>
        <v>6</v>
      </c>
      <c r="Q81" s="1">
        <f t="shared" si="44"/>
        <v>10.271624999999997</v>
      </c>
      <c r="R81" s="1">
        <f t="shared" si="57"/>
        <v>1044.4578907008954</v>
      </c>
      <c r="S81" s="1">
        <f t="shared" si="53"/>
        <v>14.673749999999997</v>
      </c>
      <c r="T81" s="60">
        <f t="shared" si="54"/>
        <v>20.543249999999993</v>
      </c>
      <c r="U81" s="101">
        <f t="shared" si="45"/>
        <v>21459.581151832463</v>
      </c>
      <c r="V81" s="102">
        <f t="shared" si="55"/>
        <v>8199.20436963351</v>
      </c>
      <c r="W81" s="102">
        <f t="shared" si="46"/>
        <v>17022.6</v>
      </c>
      <c r="X81" s="102">
        <f t="shared" si="47"/>
        <v>0</v>
      </c>
      <c r="Y81" s="103">
        <f t="shared" si="56"/>
        <v>31753.0696</v>
      </c>
      <c r="AB81" s="76"/>
      <c r="AC81" s="76"/>
      <c r="AD81" s="76"/>
      <c r="AE81" s="77"/>
      <c r="AF81" s="78"/>
      <c r="AG81" s="24"/>
      <c r="AH81" s="53"/>
      <c r="AI81" s="53"/>
      <c r="AJ81" s="53"/>
      <c r="AK81" s="53"/>
      <c r="AL81" s="53"/>
      <c r="AM81" s="1"/>
      <c r="AN81" s="1"/>
    </row>
    <row r="82" spans="2:40" ht="12.75">
      <c r="B82" s="122">
        <f t="shared" si="48"/>
        <v>39225.01400017114</v>
      </c>
      <c r="C82">
        <v>0</v>
      </c>
      <c r="D82" s="2">
        <v>0</v>
      </c>
      <c r="E82">
        <v>0.7</v>
      </c>
      <c r="F82">
        <f t="shared" si="58"/>
        <v>33.100000000000016</v>
      </c>
      <c r="G82" s="1">
        <f t="shared" si="49"/>
        <v>1184.4096000000004</v>
      </c>
      <c r="H82" s="1">
        <f t="shared" si="59"/>
        <v>0</v>
      </c>
      <c r="I82">
        <v>60</v>
      </c>
      <c r="J82" s="64">
        <f t="shared" si="26"/>
        <v>60.000000000000014</v>
      </c>
      <c r="K82" s="117">
        <f t="shared" si="60"/>
        <v>0.000486111111111111</v>
      </c>
      <c r="L82" s="1">
        <f t="shared" si="42"/>
        <v>46681.38552146597</v>
      </c>
      <c r="M82" s="1">
        <f t="shared" si="51"/>
        <v>9093.77640028558</v>
      </c>
      <c r="N82" s="1">
        <f t="shared" si="27"/>
        <v>21000</v>
      </c>
      <c r="O82" s="74">
        <f t="shared" si="43"/>
        <v>0.43303697144217046</v>
      </c>
      <c r="P82" s="84">
        <f t="shared" si="52"/>
        <v>4</v>
      </c>
      <c r="Q82" s="1">
        <f t="shared" si="44"/>
        <v>6.847749999999997</v>
      </c>
      <c r="R82" s="1">
        <f t="shared" si="57"/>
        <v>1051.3056407008953</v>
      </c>
      <c r="S82" s="1">
        <f t="shared" si="53"/>
        <v>9.782499999999995</v>
      </c>
      <c r="T82" s="60">
        <f t="shared" si="54"/>
        <v>13.695499999999994</v>
      </c>
      <c r="U82" s="101">
        <f t="shared" si="45"/>
        <v>21459.581151832463</v>
      </c>
      <c r="V82" s="102">
        <f t="shared" si="55"/>
        <v>8199.20436963351</v>
      </c>
      <c r="W82" s="102">
        <f t="shared" si="46"/>
        <v>17022.6</v>
      </c>
      <c r="X82" s="102">
        <f t="shared" si="47"/>
        <v>0</v>
      </c>
      <c r="Y82" s="103">
        <f t="shared" si="56"/>
        <v>0</v>
      </c>
      <c r="AB82" s="76"/>
      <c r="AC82" s="76"/>
      <c r="AD82" s="76"/>
      <c r="AE82" s="77"/>
      <c r="AF82" s="78"/>
      <c r="AG82" s="24"/>
      <c r="AH82" s="53"/>
      <c r="AI82" s="53"/>
      <c r="AJ82" s="53"/>
      <c r="AK82" s="53"/>
      <c r="AL82" s="53"/>
      <c r="AM82" s="1"/>
      <c r="AN82" s="1"/>
    </row>
    <row r="83" spans="2:40" ht="12.75">
      <c r="B83" s="122">
        <f t="shared" si="48"/>
        <v>39225.01448628225</v>
      </c>
      <c r="C83">
        <v>1</v>
      </c>
      <c r="D83" s="2">
        <v>0</v>
      </c>
      <c r="E83">
        <v>0.7</v>
      </c>
      <c r="F83">
        <f t="shared" si="58"/>
        <v>33.80000000000002</v>
      </c>
      <c r="G83" s="1">
        <f t="shared" si="49"/>
        <v>1184.4096000000004</v>
      </c>
      <c r="H83" s="1">
        <f t="shared" si="59"/>
        <v>0</v>
      </c>
      <c r="I83">
        <v>60</v>
      </c>
      <c r="J83" s="64">
        <f t="shared" si="26"/>
        <v>60</v>
      </c>
      <c r="K83" s="117">
        <f t="shared" si="60"/>
        <v>0.00048611111111111104</v>
      </c>
      <c r="L83" s="1">
        <f t="shared" si="42"/>
        <v>62557.92032146597</v>
      </c>
      <c r="M83" s="1">
        <f t="shared" si="51"/>
        <v>12186.607854831034</v>
      </c>
      <c r="N83" s="1">
        <f t="shared" si="27"/>
        <v>21000</v>
      </c>
      <c r="O83" s="74">
        <f t="shared" si="43"/>
        <v>0.5803146597538588</v>
      </c>
      <c r="P83" s="84">
        <f t="shared" si="52"/>
        <v>5</v>
      </c>
      <c r="Q83" s="1">
        <f t="shared" si="44"/>
        <v>8.559687499999999</v>
      </c>
      <c r="R83" s="1">
        <f t="shared" si="57"/>
        <v>1059.8653282008954</v>
      </c>
      <c r="S83" s="1">
        <f t="shared" si="53"/>
        <v>12.228124999999999</v>
      </c>
      <c r="T83" s="60">
        <f t="shared" si="54"/>
        <v>17.119374999999998</v>
      </c>
      <c r="U83" s="101">
        <f t="shared" si="45"/>
        <v>21459.581151832463</v>
      </c>
      <c r="V83" s="102">
        <f t="shared" si="55"/>
        <v>8199.20436963351</v>
      </c>
      <c r="W83" s="102">
        <f t="shared" si="46"/>
        <v>17022.6</v>
      </c>
      <c r="X83" s="102">
        <f t="shared" si="47"/>
        <v>0</v>
      </c>
      <c r="Y83" s="103">
        <f t="shared" si="56"/>
        <v>15876.5348</v>
      </c>
      <c r="AB83" s="76"/>
      <c r="AC83" s="76"/>
      <c r="AD83" s="76"/>
      <c r="AE83" s="77"/>
      <c r="AF83" s="78"/>
      <c r="AG83" s="24"/>
      <c r="AH83" s="53"/>
      <c r="AI83" s="53"/>
      <c r="AJ83" s="53"/>
      <c r="AK83" s="53"/>
      <c r="AL83" s="53"/>
      <c r="AM83" s="1"/>
      <c r="AN83" s="1"/>
    </row>
    <row r="84" spans="2:40" ht="12.75">
      <c r="B84" s="122">
        <f t="shared" si="48"/>
        <v>39225.01483350447</v>
      </c>
      <c r="C84">
        <v>0</v>
      </c>
      <c r="D84" s="2">
        <v>0</v>
      </c>
      <c r="E84">
        <v>0.5</v>
      </c>
      <c r="F84">
        <f t="shared" si="58"/>
        <v>34.30000000000002</v>
      </c>
      <c r="G84" s="1">
        <f t="shared" si="49"/>
        <v>1184.4096000000004</v>
      </c>
      <c r="H84" s="1">
        <f t="shared" si="59"/>
        <v>0</v>
      </c>
      <c r="I84">
        <v>60</v>
      </c>
      <c r="J84" s="64">
        <f t="shared" si="26"/>
        <v>60</v>
      </c>
      <c r="K84" s="117">
        <f t="shared" si="60"/>
        <v>0.00034722222222222224</v>
      </c>
      <c r="L84" s="1">
        <f t="shared" si="42"/>
        <v>62557.38552146597</v>
      </c>
      <c r="M84" s="1">
        <f t="shared" si="51"/>
        <v>12186.503673012852</v>
      </c>
      <c r="N84" s="1">
        <f t="shared" si="27"/>
        <v>21000</v>
      </c>
      <c r="O84" s="74">
        <f t="shared" si="43"/>
        <v>0.5803096987148977</v>
      </c>
      <c r="P84" s="84">
        <f t="shared" si="52"/>
        <v>5</v>
      </c>
      <c r="Q84" s="1">
        <f t="shared" si="44"/>
        <v>6.1140625</v>
      </c>
      <c r="R84" s="1">
        <f t="shared" si="57"/>
        <v>1065.9793907008955</v>
      </c>
      <c r="S84" s="1">
        <f t="shared" si="53"/>
        <v>12.228125</v>
      </c>
      <c r="T84" s="60">
        <f t="shared" si="54"/>
        <v>12.228125</v>
      </c>
      <c r="U84" s="101">
        <f t="shared" si="45"/>
        <v>21459.581151832463</v>
      </c>
      <c r="V84" s="102">
        <f t="shared" si="55"/>
        <v>8199.20436963351</v>
      </c>
      <c r="W84" s="102">
        <f t="shared" si="46"/>
        <v>17022.6</v>
      </c>
      <c r="X84" s="102">
        <f t="shared" si="47"/>
        <v>0</v>
      </c>
      <c r="Y84" s="103">
        <f t="shared" si="56"/>
        <v>15876</v>
      </c>
      <c r="AB84" s="76"/>
      <c r="AC84" s="76"/>
      <c r="AD84" s="76"/>
      <c r="AE84" s="77"/>
      <c r="AF84" s="78"/>
      <c r="AG84" s="24"/>
      <c r="AH84" s="53"/>
      <c r="AI84" s="53"/>
      <c r="AJ84" s="53"/>
      <c r="AK84" s="53"/>
      <c r="AL84" s="53"/>
      <c r="AM84" s="1"/>
      <c r="AN84" s="1"/>
    </row>
    <row r="85" spans="2:40" ht="12.75">
      <c r="B85" s="122">
        <f t="shared" si="48"/>
        <v>39225.01538906003</v>
      </c>
      <c r="C85">
        <v>0</v>
      </c>
      <c r="D85" s="2">
        <v>0</v>
      </c>
      <c r="E85">
        <v>0.8</v>
      </c>
      <c r="F85">
        <f t="shared" si="58"/>
        <v>35.100000000000016</v>
      </c>
      <c r="G85" s="1">
        <f t="shared" si="49"/>
        <v>1184.4096000000004</v>
      </c>
      <c r="H85" s="1">
        <f t="shared" si="59"/>
        <v>0</v>
      </c>
      <c r="I85">
        <v>60</v>
      </c>
      <c r="J85" s="64">
        <f t="shared" si="26"/>
        <v>60.000000000000014</v>
      </c>
      <c r="K85" s="117">
        <f t="shared" si="60"/>
        <v>0.0005555555555555554</v>
      </c>
      <c r="L85" s="1">
        <f t="shared" si="42"/>
        <v>46681.38552146597</v>
      </c>
      <c r="M85" s="1">
        <f t="shared" si="51"/>
        <v>9093.77640028558</v>
      </c>
      <c r="N85" s="1">
        <f t="shared" si="27"/>
        <v>21000</v>
      </c>
      <c r="O85" s="74">
        <f t="shared" si="43"/>
        <v>0.43303697144217046</v>
      </c>
      <c r="P85" s="84">
        <f t="shared" si="52"/>
        <v>4</v>
      </c>
      <c r="Q85" s="1">
        <f t="shared" si="44"/>
        <v>7.825999999999999</v>
      </c>
      <c r="R85" s="1">
        <f t="shared" si="57"/>
        <v>1073.8053907008955</v>
      </c>
      <c r="S85" s="1">
        <f t="shared" si="53"/>
        <v>9.782499999999997</v>
      </c>
      <c r="T85" s="60">
        <f t="shared" si="54"/>
        <v>15.651999999999997</v>
      </c>
      <c r="U85" s="101">
        <f t="shared" si="45"/>
        <v>21459.581151832463</v>
      </c>
      <c r="V85" s="102">
        <f t="shared" si="55"/>
        <v>8199.20436963351</v>
      </c>
      <c r="W85" s="102">
        <f t="shared" si="46"/>
        <v>17022.6</v>
      </c>
      <c r="X85" s="102">
        <f t="shared" si="47"/>
        <v>0</v>
      </c>
      <c r="Y85" s="103">
        <f t="shared" si="56"/>
        <v>0</v>
      </c>
      <c r="AB85" s="76"/>
      <c r="AC85" s="76"/>
      <c r="AD85" s="76"/>
      <c r="AE85" s="77"/>
      <c r="AF85" s="78"/>
      <c r="AG85" s="24"/>
      <c r="AH85" s="53"/>
      <c r="AI85" s="53"/>
      <c r="AJ85" s="53"/>
      <c r="AK85" s="53"/>
      <c r="AL85" s="53"/>
      <c r="AM85" s="1"/>
      <c r="AN85" s="1"/>
    </row>
    <row r="86" spans="2:40" ht="12.75">
      <c r="B86" s="122">
        <f t="shared" si="48"/>
        <v>39225.015875171135</v>
      </c>
      <c r="C86">
        <v>0</v>
      </c>
      <c r="D86" s="2">
        <v>0.002</v>
      </c>
      <c r="E86">
        <v>0.7</v>
      </c>
      <c r="F86">
        <f t="shared" si="58"/>
        <v>35.80000000000002</v>
      </c>
      <c r="G86" s="1">
        <f t="shared" si="49"/>
        <v>1191.8016000000005</v>
      </c>
      <c r="H86" s="1">
        <f t="shared" si="59"/>
        <v>7.392000000000053</v>
      </c>
      <c r="I86">
        <v>60</v>
      </c>
      <c r="J86" s="64">
        <f t="shared" si="26"/>
        <v>59.99999999999999</v>
      </c>
      <c r="K86" s="117">
        <f t="shared" si="60"/>
        <v>0.00048611111111111115</v>
      </c>
      <c r="L86" s="1">
        <f t="shared" si="42"/>
        <v>69414.86552146597</v>
      </c>
      <c r="M86" s="1">
        <f t="shared" si="51"/>
        <v>13522.376400285577</v>
      </c>
      <c r="N86" s="1">
        <f t="shared" si="27"/>
        <v>21000</v>
      </c>
      <c r="O86" s="74">
        <f t="shared" si="43"/>
        <v>0.6439226857278846</v>
      </c>
      <c r="P86" s="84">
        <f t="shared" si="52"/>
        <v>5</v>
      </c>
      <c r="Q86" s="1">
        <f t="shared" si="44"/>
        <v>8.559687499999999</v>
      </c>
      <c r="R86" s="1">
        <f t="shared" si="57"/>
        <v>1082.3650782008956</v>
      </c>
      <c r="S86" s="1">
        <f t="shared" si="53"/>
        <v>12.228124999999999</v>
      </c>
      <c r="T86" s="60">
        <f t="shared" si="54"/>
        <v>17.119374999999998</v>
      </c>
      <c r="U86" s="101">
        <f t="shared" si="45"/>
        <v>21459.581151832463</v>
      </c>
      <c r="V86" s="102">
        <f t="shared" si="55"/>
        <v>8199.20436963351</v>
      </c>
      <c r="W86" s="102">
        <f t="shared" si="46"/>
        <v>17022.6</v>
      </c>
      <c r="X86" s="102">
        <f t="shared" si="47"/>
        <v>22733.48</v>
      </c>
      <c r="Y86" s="103">
        <f t="shared" si="56"/>
        <v>0</v>
      </c>
      <c r="AB86" s="76"/>
      <c r="AC86" s="76"/>
      <c r="AD86" s="76"/>
      <c r="AE86" s="77"/>
      <c r="AF86" s="78"/>
      <c r="AG86" s="24"/>
      <c r="AH86" s="53"/>
      <c r="AI86" s="53"/>
      <c r="AJ86" s="53"/>
      <c r="AK86" s="53"/>
      <c r="AL86" s="53"/>
      <c r="AM86" s="1"/>
      <c r="AN86" s="1"/>
    </row>
    <row r="87" spans="2:40" ht="12.75">
      <c r="B87" s="122">
        <f t="shared" si="48"/>
        <v>39225.01634117761</v>
      </c>
      <c r="C87">
        <v>0</v>
      </c>
      <c r="D87" s="2">
        <v>0.0065</v>
      </c>
      <c r="E87">
        <v>0.6</v>
      </c>
      <c r="F87">
        <f t="shared" si="58"/>
        <v>36.40000000000002</v>
      </c>
      <c r="G87" s="1">
        <f t="shared" si="49"/>
        <v>1212.3936000000006</v>
      </c>
      <c r="H87" s="1">
        <f t="shared" si="59"/>
        <v>20.5920000000001</v>
      </c>
      <c r="I87">
        <v>60</v>
      </c>
      <c r="J87" s="64">
        <f t="shared" si="26"/>
        <v>53.64732311032837</v>
      </c>
      <c r="K87" s="117">
        <f t="shared" si="60"/>
        <v>0.0004660064761961424</v>
      </c>
      <c r="L87" s="1">
        <f t="shared" si="42"/>
        <v>120565.19552146597</v>
      </c>
      <c r="M87" s="1">
        <f t="shared" si="51"/>
        <v>23486.726400285577</v>
      </c>
      <c r="N87" s="1">
        <f t="shared" si="27"/>
        <v>21000</v>
      </c>
      <c r="O87" s="74">
        <f t="shared" si="43"/>
        <v>1.1184155428707419</v>
      </c>
      <c r="P87" s="84">
        <f t="shared" si="52"/>
        <v>8</v>
      </c>
      <c r="Q87" s="1">
        <f t="shared" si="44"/>
        <v>13.129080057759637</v>
      </c>
      <c r="R87" s="1">
        <f t="shared" si="57"/>
        <v>1095.4941582586553</v>
      </c>
      <c r="S87" s="1">
        <f t="shared" si="53"/>
        <v>21.881800096266062</v>
      </c>
      <c r="T87" s="60">
        <f t="shared" si="54"/>
        <v>26.258160115519274</v>
      </c>
      <c r="U87" s="101">
        <f t="shared" si="45"/>
        <v>21459.581151832463</v>
      </c>
      <c r="V87" s="102">
        <f t="shared" si="55"/>
        <v>8199.20436963351</v>
      </c>
      <c r="W87" s="102">
        <f t="shared" si="46"/>
        <v>17022.6</v>
      </c>
      <c r="X87" s="102">
        <f t="shared" si="47"/>
        <v>73883.81</v>
      </c>
      <c r="Y87" s="103">
        <f t="shared" si="56"/>
        <v>0</v>
      </c>
      <c r="AB87" s="76"/>
      <c r="AC87" s="76"/>
      <c r="AD87" s="76"/>
      <c r="AE87" s="77"/>
      <c r="AF87" s="78"/>
      <c r="AG87" s="24"/>
      <c r="AH87" s="53"/>
      <c r="AI87" s="53"/>
      <c r="AJ87" s="53"/>
      <c r="AK87" s="53"/>
      <c r="AL87" s="53"/>
      <c r="AM87" s="1"/>
      <c r="AN87" s="1"/>
    </row>
    <row r="88" spans="2:40" ht="12.75">
      <c r="B88" s="122">
        <f t="shared" si="48"/>
        <v>39225.01696617761</v>
      </c>
      <c r="C88">
        <v>0</v>
      </c>
      <c r="D88" s="2">
        <v>-0.003</v>
      </c>
      <c r="E88">
        <v>0.9</v>
      </c>
      <c r="F88">
        <f t="shared" si="58"/>
        <v>37.30000000000002</v>
      </c>
      <c r="G88" s="1">
        <f t="shared" si="49"/>
        <v>1198.1376000000005</v>
      </c>
      <c r="H88" s="1">
        <f t="shared" si="59"/>
        <v>0</v>
      </c>
      <c r="I88">
        <v>60</v>
      </c>
      <c r="J88" s="64">
        <f t="shared" si="26"/>
        <v>59.99999999999999</v>
      </c>
      <c r="K88" s="117">
        <f t="shared" si="60"/>
        <v>0.0006250000000000001</v>
      </c>
      <c r="L88" s="1">
        <f t="shared" si="42"/>
        <v>12581.16552146597</v>
      </c>
      <c r="M88" s="1">
        <f t="shared" si="51"/>
        <v>2450.8764002855783</v>
      </c>
      <c r="N88" s="1">
        <f t="shared" si="27"/>
        <v>21000</v>
      </c>
      <c r="O88" s="74">
        <f t="shared" si="43"/>
        <v>0.11670840001359896</v>
      </c>
      <c r="P88" s="84">
        <f t="shared" si="52"/>
        <v>1</v>
      </c>
      <c r="Q88" s="1">
        <f t="shared" si="44"/>
        <v>2.2010625</v>
      </c>
      <c r="R88" s="1">
        <f t="shared" si="57"/>
        <v>1097.6952207586553</v>
      </c>
      <c r="S88" s="1">
        <f t="shared" si="53"/>
        <v>2.4456249999999997</v>
      </c>
      <c r="T88" s="60">
        <f t="shared" si="54"/>
        <v>4.402125</v>
      </c>
      <c r="U88" s="101">
        <f t="shared" si="45"/>
        <v>21459.581151832463</v>
      </c>
      <c r="V88" s="102">
        <f t="shared" si="55"/>
        <v>8199.20436963351</v>
      </c>
      <c r="W88" s="102">
        <f t="shared" si="46"/>
        <v>17022.6</v>
      </c>
      <c r="X88" s="102">
        <f t="shared" si="47"/>
        <v>-34100.22</v>
      </c>
      <c r="Y88" s="103">
        <f t="shared" si="56"/>
        <v>0</v>
      </c>
      <c r="AB88" s="76"/>
      <c r="AC88" s="76"/>
      <c r="AD88" s="76"/>
      <c r="AE88" s="77"/>
      <c r="AF88" s="78"/>
      <c r="AG88" s="24"/>
      <c r="AH88" s="53"/>
      <c r="AI88" s="53"/>
      <c r="AJ88" s="53"/>
      <c r="AK88" s="53"/>
      <c r="AL88" s="53"/>
      <c r="AM88" s="1"/>
      <c r="AN88" s="1"/>
    </row>
    <row r="89" spans="2:40" ht="12.75">
      <c r="B89" s="122">
        <f t="shared" si="48"/>
        <v>39225.01738284428</v>
      </c>
      <c r="C89">
        <v>0</v>
      </c>
      <c r="D89" s="2">
        <v>0</v>
      </c>
      <c r="E89">
        <v>0.6</v>
      </c>
      <c r="F89">
        <f t="shared" si="58"/>
        <v>37.90000000000002</v>
      </c>
      <c r="G89" s="1">
        <f t="shared" si="49"/>
        <v>1198.1376000000005</v>
      </c>
      <c r="H89" s="1">
        <f t="shared" si="59"/>
        <v>0</v>
      </c>
      <c r="I89">
        <v>60</v>
      </c>
      <c r="J89" s="64">
        <f t="shared" si="26"/>
        <v>60.000000000000014</v>
      </c>
      <c r="K89" s="117">
        <f t="shared" si="60"/>
        <v>0.00041666666666666653</v>
      </c>
      <c r="L89" s="1">
        <f t="shared" si="42"/>
        <v>46681.38552146597</v>
      </c>
      <c r="M89" s="1">
        <f t="shared" si="51"/>
        <v>9093.77640028558</v>
      </c>
      <c r="N89" s="1">
        <f t="shared" si="27"/>
        <v>21000</v>
      </c>
      <c r="O89" s="74">
        <f t="shared" si="43"/>
        <v>0.43303697144217046</v>
      </c>
      <c r="P89" s="84">
        <f t="shared" si="52"/>
        <v>4</v>
      </c>
      <c r="Q89" s="1">
        <f t="shared" si="44"/>
        <v>5.869499999999999</v>
      </c>
      <c r="R89" s="1">
        <f t="shared" si="57"/>
        <v>1103.5647207586553</v>
      </c>
      <c r="S89" s="1">
        <f t="shared" si="53"/>
        <v>9.782499999999999</v>
      </c>
      <c r="T89" s="60">
        <f t="shared" si="54"/>
        <v>11.738999999999997</v>
      </c>
      <c r="U89" s="101">
        <f t="shared" si="45"/>
        <v>21459.581151832463</v>
      </c>
      <c r="V89" s="102">
        <f t="shared" si="55"/>
        <v>8199.20436963351</v>
      </c>
      <c r="W89" s="102">
        <f t="shared" si="46"/>
        <v>17022.6</v>
      </c>
      <c r="X89" s="102">
        <f t="shared" si="47"/>
        <v>0</v>
      </c>
      <c r="Y89" s="103">
        <f t="shared" si="56"/>
        <v>0</v>
      </c>
      <c r="AB89" s="76"/>
      <c r="AC89" s="76"/>
      <c r="AD89" s="76"/>
      <c r="AE89" s="77"/>
      <c r="AF89" s="78"/>
      <c r="AG89" s="24"/>
      <c r="AH89" s="53"/>
      <c r="AI89" s="53"/>
      <c r="AJ89" s="53"/>
      <c r="AK89" s="53"/>
      <c r="AL89" s="53"/>
      <c r="AM89" s="1"/>
      <c r="AN89" s="1"/>
    </row>
    <row r="90" spans="2:40" ht="12.75">
      <c r="B90" s="122">
        <f t="shared" si="48"/>
        <v>39225.01759117761</v>
      </c>
      <c r="C90">
        <v>0</v>
      </c>
      <c r="D90" s="2">
        <v>0.004</v>
      </c>
      <c r="E90">
        <v>0.3</v>
      </c>
      <c r="F90">
        <f t="shared" si="58"/>
        <v>38.20000000000002</v>
      </c>
      <c r="G90" s="1">
        <f t="shared" si="49"/>
        <v>1204.4736000000005</v>
      </c>
      <c r="H90" s="1">
        <f t="shared" si="59"/>
        <v>6.336000000000013</v>
      </c>
      <c r="I90">
        <v>60</v>
      </c>
      <c r="J90" s="64">
        <f t="shared" si="26"/>
        <v>60</v>
      </c>
      <c r="K90" s="117">
        <f t="shared" si="60"/>
        <v>0.00020833333333333335</v>
      </c>
      <c r="L90" s="1">
        <f t="shared" si="42"/>
        <v>92148.34552146596</v>
      </c>
      <c r="M90" s="1">
        <f t="shared" si="51"/>
        <v>17950.976400285577</v>
      </c>
      <c r="N90" s="1">
        <f t="shared" si="27"/>
        <v>21000</v>
      </c>
      <c r="O90" s="74">
        <f t="shared" si="43"/>
        <v>0.8548084000135989</v>
      </c>
      <c r="P90" s="84">
        <f t="shared" si="52"/>
        <v>6</v>
      </c>
      <c r="Q90" s="1">
        <f t="shared" si="44"/>
        <v>4.402125</v>
      </c>
      <c r="R90" s="1">
        <f t="shared" si="57"/>
        <v>1107.9668457586554</v>
      </c>
      <c r="S90" s="1">
        <f t="shared" si="53"/>
        <v>14.67375</v>
      </c>
      <c r="T90" s="60">
        <f t="shared" si="54"/>
        <v>8.80425</v>
      </c>
      <c r="U90" s="101">
        <f t="shared" si="45"/>
        <v>21459.581151832463</v>
      </c>
      <c r="V90" s="102">
        <f t="shared" si="55"/>
        <v>8199.20436963351</v>
      </c>
      <c r="W90" s="102">
        <f t="shared" si="46"/>
        <v>17022.6</v>
      </c>
      <c r="X90" s="102">
        <f t="shared" si="47"/>
        <v>45466.96</v>
      </c>
      <c r="Y90" s="103">
        <f t="shared" si="56"/>
        <v>0</v>
      </c>
      <c r="AB90" s="76"/>
      <c r="AC90" s="76"/>
      <c r="AD90" s="76"/>
      <c r="AE90" s="77"/>
      <c r="AF90" s="78"/>
      <c r="AG90" s="24"/>
      <c r="AH90" s="53"/>
      <c r="AI90" s="53"/>
      <c r="AJ90" s="53"/>
      <c r="AK90" s="53"/>
      <c r="AL90" s="53"/>
      <c r="AM90" s="1"/>
      <c r="AN90" s="1"/>
    </row>
    <row r="91" spans="2:40" ht="12.75">
      <c r="B91" s="122">
        <f t="shared" si="48"/>
        <v>39225.01779951094</v>
      </c>
      <c r="C91">
        <v>0</v>
      </c>
      <c r="D91" s="2">
        <v>-0.003</v>
      </c>
      <c r="E91">
        <v>0.3</v>
      </c>
      <c r="F91">
        <f t="shared" si="58"/>
        <v>38.500000000000014</v>
      </c>
      <c r="G91" s="1">
        <f t="shared" si="49"/>
        <v>1199.7216000000005</v>
      </c>
      <c r="H91" s="1">
        <f t="shared" si="59"/>
        <v>0</v>
      </c>
      <c r="I91">
        <v>60</v>
      </c>
      <c r="J91" s="64">
        <f t="shared" si="26"/>
        <v>59.99999999999999</v>
      </c>
      <c r="K91" s="117">
        <f t="shared" si="60"/>
        <v>0.00020833333333333335</v>
      </c>
      <c r="L91" s="1">
        <f t="shared" si="42"/>
        <v>12581.16552146597</v>
      </c>
      <c r="M91" s="1">
        <f aca="true" t="shared" si="61" ref="M91:M138">$L91*$I91/308</f>
        <v>2450.8764002855783</v>
      </c>
      <c r="N91" s="1">
        <f t="shared" si="27"/>
        <v>21000</v>
      </c>
      <c r="O91" s="74">
        <f t="shared" si="43"/>
        <v>0.11670840001359896</v>
      </c>
      <c r="P91" s="84">
        <f t="shared" si="52"/>
        <v>1</v>
      </c>
      <c r="Q91" s="1">
        <f t="shared" si="44"/>
        <v>0.7336875</v>
      </c>
      <c r="R91" s="1">
        <f t="shared" si="57"/>
        <v>1108.7005332586555</v>
      </c>
      <c r="S91" s="1">
        <f t="shared" si="53"/>
        <v>2.445625</v>
      </c>
      <c r="T91" s="60">
        <f t="shared" si="54"/>
        <v>1.467375</v>
      </c>
      <c r="U91" s="101">
        <f t="shared" si="45"/>
        <v>21459.581151832463</v>
      </c>
      <c r="V91" s="102">
        <f t="shared" si="55"/>
        <v>8199.20436963351</v>
      </c>
      <c r="W91" s="102">
        <f t="shared" si="46"/>
        <v>17022.6</v>
      </c>
      <c r="X91" s="102">
        <f t="shared" si="47"/>
        <v>-34100.22</v>
      </c>
      <c r="Y91" s="103">
        <f t="shared" si="56"/>
        <v>0</v>
      </c>
      <c r="AB91" s="76"/>
      <c r="AC91" s="76"/>
      <c r="AD91" s="76"/>
      <c r="AE91" s="77"/>
      <c r="AF91" s="78"/>
      <c r="AG91" s="24"/>
      <c r="AH91" s="53"/>
      <c r="AI91" s="53"/>
      <c r="AJ91" s="53"/>
      <c r="AK91" s="53"/>
      <c r="AL91" s="53"/>
      <c r="AM91" s="1"/>
      <c r="AN91" s="1"/>
    </row>
    <row r="92" spans="2:40" ht="12.75">
      <c r="B92" s="122">
        <f t="shared" si="48"/>
        <v>39225.01800784427</v>
      </c>
      <c r="C92">
        <v>0</v>
      </c>
      <c r="D92" s="2">
        <v>0.002</v>
      </c>
      <c r="E92">
        <v>0.3</v>
      </c>
      <c r="F92">
        <f t="shared" si="58"/>
        <v>38.80000000000001</v>
      </c>
      <c r="G92" s="1">
        <f t="shared" si="49"/>
        <v>1202.8896000000004</v>
      </c>
      <c r="H92" s="1">
        <f t="shared" si="59"/>
        <v>3.1679999999998927</v>
      </c>
      <c r="I92">
        <v>60</v>
      </c>
      <c r="J92" s="64">
        <f t="shared" si="26"/>
        <v>59.99999999999999</v>
      </c>
      <c r="K92" s="117">
        <f t="shared" si="60"/>
        <v>0.00020833333333333335</v>
      </c>
      <c r="L92" s="1">
        <f t="shared" si="42"/>
        <v>69414.86552146597</v>
      </c>
      <c r="M92" s="1">
        <f t="shared" si="61"/>
        <v>13522.376400285577</v>
      </c>
      <c r="N92" s="1">
        <f t="shared" si="27"/>
        <v>21000</v>
      </c>
      <c r="O92" s="74">
        <f t="shared" si="43"/>
        <v>0.6439226857278846</v>
      </c>
      <c r="P92" s="84">
        <f t="shared" si="52"/>
        <v>5</v>
      </c>
      <c r="Q92" s="1">
        <f t="shared" si="44"/>
        <v>3.6684375000000005</v>
      </c>
      <c r="R92" s="1">
        <f t="shared" si="57"/>
        <v>1112.3689707586555</v>
      </c>
      <c r="S92" s="1">
        <f t="shared" si="53"/>
        <v>12.228125000000002</v>
      </c>
      <c r="T92" s="60">
        <f t="shared" si="54"/>
        <v>7.336875000000001</v>
      </c>
      <c r="U92" s="101">
        <f t="shared" si="45"/>
        <v>21459.581151832463</v>
      </c>
      <c r="V92" s="102">
        <f t="shared" si="55"/>
        <v>8199.20436963351</v>
      </c>
      <c r="W92" s="102">
        <f t="shared" si="46"/>
        <v>17022.6</v>
      </c>
      <c r="X92" s="102">
        <f t="shared" si="47"/>
        <v>22733.48</v>
      </c>
      <c r="Y92" s="103">
        <f t="shared" si="56"/>
        <v>0</v>
      </c>
      <c r="AB92" s="76"/>
      <c r="AC92" s="76"/>
      <c r="AD92" s="76"/>
      <c r="AE92" s="77"/>
      <c r="AF92" s="78"/>
      <c r="AG92" s="24"/>
      <c r="AH92" s="53"/>
      <c r="AI92" s="53"/>
      <c r="AJ92" s="53"/>
      <c r="AK92" s="53"/>
      <c r="AL92" s="53"/>
      <c r="AM92" s="1"/>
      <c r="AN92" s="1"/>
    </row>
    <row r="93" spans="2:40" ht="12.75">
      <c r="B93" s="122">
        <f t="shared" si="48"/>
        <v>39225.01828562205</v>
      </c>
      <c r="C93">
        <v>0</v>
      </c>
      <c r="D93" s="2">
        <v>-0.002</v>
      </c>
      <c r="E93">
        <v>0.4</v>
      </c>
      <c r="F93">
        <f t="shared" si="58"/>
        <v>39.20000000000001</v>
      </c>
      <c r="G93" s="1">
        <f t="shared" si="49"/>
        <v>1198.6656000000005</v>
      </c>
      <c r="H93" s="1">
        <f t="shared" si="59"/>
        <v>0</v>
      </c>
      <c r="I93">
        <v>60</v>
      </c>
      <c r="J93" s="64">
        <f t="shared" si="26"/>
        <v>60</v>
      </c>
      <c r="K93" s="117">
        <f t="shared" si="60"/>
        <v>0.0002777777777777778</v>
      </c>
      <c r="L93" s="1">
        <f t="shared" si="42"/>
        <v>23947.90552146597</v>
      </c>
      <c r="M93" s="1">
        <f t="shared" si="61"/>
        <v>4665.176400285579</v>
      </c>
      <c r="N93" s="1">
        <f t="shared" si="27"/>
        <v>21000</v>
      </c>
      <c r="O93" s="74">
        <f t="shared" si="43"/>
        <v>0.22215125715645614</v>
      </c>
      <c r="P93" s="84">
        <f t="shared" si="52"/>
        <v>2</v>
      </c>
      <c r="Q93" s="1">
        <f t="shared" si="44"/>
        <v>1.9565</v>
      </c>
      <c r="R93" s="1">
        <f t="shared" si="57"/>
        <v>1114.3254707586555</v>
      </c>
      <c r="S93" s="1">
        <f t="shared" si="53"/>
        <v>4.891249999999999</v>
      </c>
      <c r="T93" s="60">
        <f t="shared" si="54"/>
        <v>3.913</v>
      </c>
      <c r="U93" s="101">
        <f t="shared" si="45"/>
        <v>21459.581151832463</v>
      </c>
      <c r="V93" s="102">
        <f t="shared" si="55"/>
        <v>8199.20436963351</v>
      </c>
      <c r="W93" s="102">
        <f t="shared" si="46"/>
        <v>17022.6</v>
      </c>
      <c r="X93" s="102">
        <f t="shared" si="47"/>
        <v>-22733.48</v>
      </c>
      <c r="Y93" s="103">
        <f t="shared" si="56"/>
        <v>0</v>
      </c>
      <c r="AB93" s="76"/>
      <c r="AC93" s="76"/>
      <c r="AD93" s="76"/>
      <c r="AE93" s="77"/>
      <c r="AF93" s="78"/>
      <c r="AG93" s="24"/>
      <c r="AH93" s="53"/>
      <c r="AI93" s="53"/>
      <c r="AJ93" s="53"/>
      <c r="AK93" s="53"/>
      <c r="AL93" s="53"/>
      <c r="AM93" s="1"/>
      <c r="AN93" s="1"/>
    </row>
    <row r="94" spans="2:40" ht="12.75">
      <c r="B94" s="122">
        <f t="shared" si="48"/>
        <v>39225.01886895538</v>
      </c>
      <c r="C94">
        <v>0</v>
      </c>
      <c r="D94" s="2">
        <v>0.006</v>
      </c>
      <c r="E94">
        <v>0.7</v>
      </c>
      <c r="F94">
        <f t="shared" si="58"/>
        <v>39.90000000000001</v>
      </c>
      <c r="G94" s="1">
        <f t="shared" si="49"/>
        <v>1220.8416000000004</v>
      </c>
      <c r="H94" s="1">
        <f t="shared" si="59"/>
        <v>22.17599999999993</v>
      </c>
      <c r="I94">
        <v>50</v>
      </c>
      <c r="J94" s="64">
        <f t="shared" si="26"/>
        <v>50</v>
      </c>
      <c r="K94" s="117">
        <f t="shared" si="60"/>
        <v>0.0005833333333333333</v>
      </c>
      <c r="L94" s="1">
        <f t="shared" si="42"/>
        <v>105487.63128062828</v>
      </c>
      <c r="M94" s="1">
        <f t="shared" si="61"/>
        <v>17124.61546763446</v>
      </c>
      <c r="N94" s="1">
        <f t="shared" si="27"/>
        <v>21000</v>
      </c>
      <c r="O94" s="74">
        <f t="shared" si="43"/>
        <v>0.8154578794111648</v>
      </c>
      <c r="P94" s="84">
        <f t="shared" si="52"/>
        <v>6</v>
      </c>
      <c r="Q94" s="1">
        <f t="shared" si="44"/>
        <v>12.325949999999997</v>
      </c>
      <c r="R94" s="1">
        <f t="shared" si="57"/>
        <v>1126.6514207586554</v>
      </c>
      <c r="S94" s="1">
        <f t="shared" si="53"/>
        <v>17.608499999999996</v>
      </c>
      <c r="T94" s="60">
        <f t="shared" si="54"/>
        <v>24.651899999999994</v>
      </c>
      <c r="U94" s="101">
        <f t="shared" si="45"/>
        <v>14902.486910994765</v>
      </c>
      <c r="V94" s="102">
        <f t="shared" si="55"/>
        <v>8199.20436963351</v>
      </c>
      <c r="W94" s="102">
        <f t="shared" si="46"/>
        <v>14185.5</v>
      </c>
      <c r="X94" s="102">
        <f t="shared" si="47"/>
        <v>68200.44</v>
      </c>
      <c r="Y94" s="103">
        <f t="shared" si="56"/>
        <v>0</v>
      </c>
      <c r="AB94" s="76"/>
      <c r="AC94" s="76"/>
      <c r="AD94" s="76"/>
      <c r="AE94" s="77"/>
      <c r="AF94" s="78"/>
      <c r="AG94" s="24"/>
      <c r="AH94" s="53"/>
      <c r="AI94" s="53"/>
      <c r="AJ94" s="53"/>
      <c r="AK94" s="53"/>
      <c r="AL94" s="53"/>
      <c r="AM94" s="1"/>
      <c r="AN94" s="1"/>
    </row>
    <row r="95" spans="2:40" ht="12.75">
      <c r="B95" s="122">
        <f t="shared" si="48"/>
        <v>39225.01945228872</v>
      </c>
      <c r="C95">
        <v>0</v>
      </c>
      <c r="D95" s="2">
        <v>0.006</v>
      </c>
      <c r="E95">
        <v>0.7</v>
      </c>
      <c r="F95">
        <f t="shared" si="58"/>
        <v>40.600000000000016</v>
      </c>
      <c r="G95" s="1">
        <f t="shared" si="49"/>
        <v>1243.0176000000004</v>
      </c>
      <c r="H95" s="1">
        <f t="shared" si="59"/>
        <v>22.17599999999993</v>
      </c>
      <c r="I95">
        <v>50</v>
      </c>
      <c r="J95" s="64">
        <f t="shared" si="26"/>
        <v>50</v>
      </c>
      <c r="K95" s="117">
        <f t="shared" si="60"/>
        <v>0.0005833333333333333</v>
      </c>
      <c r="L95" s="1">
        <f t="shared" si="42"/>
        <v>105487.63128062828</v>
      </c>
      <c r="M95" s="1">
        <f t="shared" si="61"/>
        <v>17124.61546763446</v>
      </c>
      <c r="N95" s="1">
        <f t="shared" si="27"/>
        <v>21000</v>
      </c>
      <c r="O95" s="74">
        <f t="shared" si="43"/>
        <v>0.8154578794111648</v>
      </c>
      <c r="P95" s="84">
        <f t="shared" si="52"/>
        <v>6</v>
      </c>
      <c r="Q95" s="1">
        <f t="shared" si="44"/>
        <v>12.325949999999997</v>
      </c>
      <c r="R95" s="1">
        <f t="shared" si="57"/>
        <v>1138.9773707586553</v>
      </c>
      <c r="S95" s="1">
        <f t="shared" si="53"/>
        <v>17.608499999999996</v>
      </c>
      <c r="T95" s="60">
        <f t="shared" si="54"/>
        <v>24.651899999999994</v>
      </c>
      <c r="U95" s="101">
        <f t="shared" si="45"/>
        <v>14902.486910994765</v>
      </c>
      <c r="V95" s="102">
        <f t="shared" si="55"/>
        <v>8199.20436963351</v>
      </c>
      <c r="W95" s="102">
        <f t="shared" si="46"/>
        <v>14185.5</v>
      </c>
      <c r="X95" s="102">
        <f t="shared" si="47"/>
        <v>68200.44</v>
      </c>
      <c r="Y95" s="103">
        <f t="shared" si="56"/>
        <v>0</v>
      </c>
      <c r="AB95" s="76"/>
      <c r="AC95" s="76"/>
      <c r="AD95" s="76"/>
      <c r="AE95" s="77"/>
      <c r="AF95" s="78"/>
      <c r="AG95" s="24"/>
      <c r="AH95" s="53"/>
      <c r="AI95" s="53"/>
      <c r="AJ95" s="53"/>
      <c r="AK95" s="53"/>
      <c r="AL95" s="53"/>
      <c r="AM95" s="1"/>
      <c r="AN95" s="1"/>
    </row>
    <row r="96" spans="2:40" ht="12.75">
      <c r="B96" s="122">
        <f t="shared" si="48"/>
        <v>39225.01997312205</v>
      </c>
      <c r="C96">
        <v>0</v>
      </c>
      <c r="D96" s="2">
        <v>0.008</v>
      </c>
      <c r="E96">
        <v>0.5</v>
      </c>
      <c r="F96">
        <f t="shared" si="58"/>
        <v>41.100000000000016</v>
      </c>
      <c r="G96" s="1">
        <f t="shared" si="49"/>
        <v>1264.1376000000002</v>
      </c>
      <c r="H96" s="1">
        <f>IF(G96-G95&gt;0,G96-G95,0)</f>
        <v>21.11999999999989</v>
      </c>
      <c r="I96">
        <v>40</v>
      </c>
      <c r="J96" s="64">
        <f t="shared" si="26"/>
        <v>40.00000000000001</v>
      </c>
      <c r="K96" s="117">
        <f t="shared" si="60"/>
        <v>0.0005208333333333332</v>
      </c>
      <c r="L96" s="1">
        <f t="shared" si="42"/>
        <v>120019.11599267015</v>
      </c>
      <c r="M96" s="1">
        <f t="shared" si="61"/>
        <v>15586.898180866254</v>
      </c>
      <c r="N96" s="1">
        <f t="shared" si="27"/>
        <v>21000</v>
      </c>
      <c r="O96" s="74">
        <f t="shared" si="43"/>
        <v>0.7422332467079168</v>
      </c>
      <c r="P96" s="84">
        <f t="shared" si="52"/>
        <v>6</v>
      </c>
      <c r="Q96" s="1">
        <f t="shared" si="44"/>
        <v>11.005312499999997</v>
      </c>
      <c r="R96" s="1">
        <f t="shared" si="57"/>
        <v>1149.9826832586552</v>
      </c>
      <c r="S96" s="1">
        <f t="shared" si="53"/>
        <v>22.010624999999994</v>
      </c>
      <c r="T96" s="60">
        <f t="shared" si="54"/>
        <v>22.010624999999994</v>
      </c>
      <c r="U96" s="101">
        <f t="shared" si="45"/>
        <v>9537.59162303665</v>
      </c>
      <c r="V96" s="102">
        <f t="shared" si="55"/>
        <v>8199.20436963351</v>
      </c>
      <c r="W96" s="102">
        <f t="shared" si="46"/>
        <v>11348.399999999998</v>
      </c>
      <c r="X96" s="102">
        <f t="shared" si="47"/>
        <v>90933.92</v>
      </c>
      <c r="Y96" s="103">
        <f t="shared" si="56"/>
        <v>0</v>
      </c>
      <c r="AB96" s="76"/>
      <c r="AC96" s="76"/>
      <c r="AD96" s="76"/>
      <c r="AE96" s="77"/>
      <c r="AF96" s="78"/>
      <c r="AG96" s="24"/>
      <c r="AH96" s="53"/>
      <c r="AI96" s="53"/>
      <c r="AJ96" s="53"/>
      <c r="AK96" s="53"/>
      <c r="AL96" s="53"/>
      <c r="AM96" s="1"/>
      <c r="AN96" s="1"/>
    </row>
    <row r="97" spans="2:40" ht="12.75">
      <c r="B97" s="122">
        <f t="shared" si="48"/>
        <v>39225.02070228872</v>
      </c>
      <c r="C97">
        <v>0</v>
      </c>
      <c r="D97" s="2">
        <v>0.009</v>
      </c>
      <c r="E97">
        <v>0.7</v>
      </c>
      <c r="F97">
        <f t="shared" si="58"/>
        <v>41.80000000000002</v>
      </c>
      <c r="G97" s="1">
        <f t="shared" si="49"/>
        <v>1297.4016000000001</v>
      </c>
      <c r="H97" s="1">
        <f aca="true" t="shared" si="62" ref="H97:H108">IF(G97-G96&gt;0,G97-G96,0)</f>
        <v>33.263999999999896</v>
      </c>
      <c r="I97">
        <v>40</v>
      </c>
      <c r="J97" s="64">
        <f t="shared" si="26"/>
        <v>39.99999999999999</v>
      </c>
      <c r="K97" s="117">
        <f t="shared" si="60"/>
        <v>0.0007291666666666667</v>
      </c>
      <c r="L97" s="1">
        <f t="shared" si="42"/>
        <v>131385.85599267017</v>
      </c>
      <c r="M97" s="1">
        <f t="shared" si="61"/>
        <v>17063.098180866255</v>
      </c>
      <c r="N97" s="1">
        <f t="shared" si="27"/>
        <v>21000</v>
      </c>
      <c r="O97" s="74">
        <f t="shared" si="43"/>
        <v>0.812528484803155</v>
      </c>
      <c r="P97" s="84">
        <f t="shared" si="52"/>
        <v>6</v>
      </c>
      <c r="Q97" s="1">
        <f t="shared" si="44"/>
        <v>15.4074375</v>
      </c>
      <c r="R97" s="1">
        <f t="shared" si="57"/>
        <v>1165.3901207586553</v>
      </c>
      <c r="S97" s="1">
        <f t="shared" si="53"/>
        <v>22.010625</v>
      </c>
      <c r="T97" s="60">
        <f t="shared" si="54"/>
        <v>30.814875</v>
      </c>
      <c r="U97" s="101">
        <f t="shared" si="45"/>
        <v>9537.59162303665</v>
      </c>
      <c r="V97" s="102">
        <f t="shared" si="55"/>
        <v>8199.20436963351</v>
      </c>
      <c r="W97" s="102">
        <f t="shared" si="46"/>
        <v>11348.399999999998</v>
      </c>
      <c r="X97" s="102">
        <f t="shared" si="47"/>
        <v>102300.66</v>
      </c>
      <c r="Y97" s="103">
        <f t="shared" si="56"/>
        <v>0</v>
      </c>
      <c r="AB97" s="76"/>
      <c r="AC97" s="76"/>
      <c r="AD97" s="76"/>
      <c r="AE97" s="77"/>
      <c r="AF97" s="78"/>
      <c r="AG97" s="24"/>
      <c r="AH97" s="53"/>
      <c r="AI97" s="53"/>
      <c r="AJ97" s="53"/>
      <c r="AK97" s="53"/>
      <c r="AL97" s="53"/>
      <c r="AM97" s="1"/>
      <c r="AN97" s="1"/>
    </row>
    <row r="98" spans="2:40" ht="12.75">
      <c r="B98" s="122">
        <f t="shared" si="48"/>
        <v>39225.02141657443</v>
      </c>
      <c r="C98">
        <v>1</v>
      </c>
      <c r="D98" s="2">
        <v>0.01</v>
      </c>
      <c r="E98">
        <v>0.6</v>
      </c>
      <c r="F98">
        <f t="shared" si="58"/>
        <v>42.40000000000002</v>
      </c>
      <c r="G98" s="1">
        <f t="shared" si="49"/>
        <v>1329.0816000000002</v>
      </c>
      <c r="H98" s="1">
        <f t="shared" si="62"/>
        <v>31.680000000000064</v>
      </c>
      <c r="I98">
        <v>35</v>
      </c>
      <c r="J98" s="64">
        <f t="shared" si="26"/>
        <v>35.00000000000001</v>
      </c>
      <c r="K98" s="117">
        <f t="shared" si="60"/>
        <v>0.0007142857142857142</v>
      </c>
      <c r="L98" s="1">
        <f t="shared" si="42"/>
        <v>154975.20775602094</v>
      </c>
      <c r="M98" s="1">
        <f t="shared" si="61"/>
        <v>17610.8190631842</v>
      </c>
      <c r="N98" s="1">
        <f t="shared" si="27"/>
        <v>21000</v>
      </c>
      <c r="O98" s="74">
        <f t="shared" si="43"/>
        <v>0.8386104315802</v>
      </c>
      <c r="P98" s="84">
        <f t="shared" si="52"/>
        <v>6</v>
      </c>
      <c r="Q98" s="1">
        <f t="shared" si="44"/>
        <v>15.092999999999996</v>
      </c>
      <c r="R98" s="1">
        <f t="shared" si="57"/>
        <v>1180.4831207586553</v>
      </c>
      <c r="S98" s="1">
        <f t="shared" si="53"/>
        <v>25.154999999999994</v>
      </c>
      <c r="T98" s="60">
        <f t="shared" si="54"/>
        <v>30.185999999999993</v>
      </c>
      <c r="U98" s="101">
        <f t="shared" si="45"/>
        <v>7302.218586387436</v>
      </c>
      <c r="V98" s="102">
        <f t="shared" si="55"/>
        <v>8199.20436963351</v>
      </c>
      <c r="W98" s="102">
        <f t="shared" si="46"/>
        <v>9929.85</v>
      </c>
      <c r="X98" s="102">
        <f t="shared" si="47"/>
        <v>113667.4</v>
      </c>
      <c r="Y98" s="103">
        <f t="shared" si="56"/>
        <v>15876.5348</v>
      </c>
      <c r="AB98" s="76"/>
      <c r="AC98" s="76"/>
      <c r="AD98" s="76"/>
      <c r="AE98" s="77"/>
      <c r="AF98" s="78"/>
      <c r="AG98" s="24"/>
      <c r="AH98" s="53"/>
      <c r="AI98" s="53"/>
      <c r="AJ98" s="53"/>
      <c r="AK98" s="53"/>
      <c r="AL98" s="53"/>
      <c r="AM98" s="1"/>
      <c r="AN98" s="1"/>
    </row>
    <row r="99" spans="2:40" ht="12.75">
      <c r="B99" s="122">
        <f t="shared" si="48"/>
        <v>39225.02219090491</v>
      </c>
      <c r="C99">
        <v>0</v>
      </c>
      <c r="D99" s="2">
        <v>0.011</v>
      </c>
      <c r="E99">
        <v>0.7</v>
      </c>
      <c r="F99">
        <f t="shared" si="58"/>
        <v>43.10000000000002</v>
      </c>
      <c r="G99" s="1">
        <f t="shared" si="49"/>
        <v>1369.7376000000002</v>
      </c>
      <c r="H99" s="1">
        <f t="shared" si="62"/>
        <v>40.65599999999995</v>
      </c>
      <c r="I99">
        <v>60</v>
      </c>
      <c r="J99" s="64">
        <f t="shared" si="26"/>
        <v>37.66694933587378</v>
      </c>
      <c r="K99" s="117">
        <f t="shared" si="60"/>
        <v>0.0007743304722288327</v>
      </c>
      <c r="L99" s="1">
        <f t="shared" si="42"/>
        <v>171715.52552146596</v>
      </c>
      <c r="M99" s="1">
        <f t="shared" si="61"/>
        <v>33451.07640028557</v>
      </c>
      <c r="N99" s="1">
        <f t="shared" si="27"/>
        <v>21000</v>
      </c>
      <c r="O99" s="74">
        <f t="shared" si="43"/>
        <v>1.5929084000135987</v>
      </c>
      <c r="P99" s="84">
        <f t="shared" si="52"/>
        <v>8</v>
      </c>
      <c r="Q99" s="1">
        <f>IF($AB$11*E99/J99*VLOOKUP($AB$10,$AA$34:$AQ$44,MATCH(P99,$AA$34:$AQ$34,),0)&gt;0,$AB$11*E99/J99*VLOOKUP($AB$10,$AA$34:$AQ$44,MATCH(P99,$AA$34:$AQ$34,),0),0)</f>
        <v>21.81567699238624</v>
      </c>
      <c r="R99" s="1">
        <f t="shared" si="57"/>
        <v>1202.2987977510415</v>
      </c>
      <c r="S99" s="1">
        <f t="shared" si="53"/>
        <v>31.16525284626606</v>
      </c>
      <c r="T99" s="60">
        <f t="shared" si="54"/>
        <v>43.63135398477248</v>
      </c>
      <c r="U99" s="101">
        <f t="shared" si="45"/>
        <v>21459.581151832463</v>
      </c>
      <c r="V99" s="102">
        <f t="shared" si="55"/>
        <v>8199.20436963351</v>
      </c>
      <c r="W99" s="102">
        <f t="shared" si="46"/>
        <v>17022.6</v>
      </c>
      <c r="X99" s="102">
        <f t="shared" si="47"/>
        <v>125034.13999999998</v>
      </c>
      <c r="Y99" s="103">
        <f t="shared" si="56"/>
        <v>0</v>
      </c>
      <c r="AB99" s="76"/>
      <c r="AC99" s="76"/>
      <c r="AD99" s="76"/>
      <c r="AE99" s="77"/>
      <c r="AF99" s="78"/>
      <c r="AG99" s="24"/>
      <c r="AH99" s="53"/>
      <c r="AI99" s="53"/>
      <c r="AJ99" s="53"/>
      <c r="AK99" s="53"/>
      <c r="AL99" s="53"/>
      <c r="AM99" s="1"/>
      <c r="AN99" s="1"/>
    </row>
    <row r="100" spans="2:40" ht="12.75">
      <c r="B100" s="122">
        <f t="shared" si="48"/>
        <v>39225.02260757158</v>
      </c>
      <c r="C100">
        <v>0</v>
      </c>
      <c r="D100" s="2">
        <v>-0.009</v>
      </c>
      <c r="E100">
        <v>0.6</v>
      </c>
      <c r="F100">
        <f t="shared" si="58"/>
        <v>43.700000000000024</v>
      </c>
      <c r="G100" s="1">
        <f t="shared" si="49"/>
        <v>1341.2256000000002</v>
      </c>
      <c r="H100" s="1">
        <f t="shared" si="62"/>
        <v>0</v>
      </c>
      <c r="I100">
        <v>60</v>
      </c>
      <c r="J100" s="64">
        <f t="shared" si="26"/>
        <v>60</v>
      </c>
      <c r="K100" s="117">
        <f t="shared" si="60"/>
        <v>0.0004166666666666667</v>
      </c>
      <c r="L100" s="1">
        <f t="shared" si="42"/>
        <v>-55619.27447853403</v>
      </c>
      <c r="M100" s="1">
        <f t="shared" si="61"/>
        <v>-10834.923599714422</v>
      </c>
      <c r="N100" s="1">
        <f t="shared" si="27"/>
        <v>21000</v>
      </c>
      <c r="O100" s="74">
        <f t="shared" si="43"/>
        <v>-0.515948742843544</v>
      </c>
      <c r="P100" s="84">
        <f t="shared" si="52"/>
        <v>1</v>
      </c>
      <c r="Q100" s="1">
        <f t="shared" si="44"/>
        <v>1.467375</v>
      </c>
      <c r="R100" s="1">
        <f t="shared" si="57"/>
        <v>1203.7661727510415</v>
      </c>
      <c r="S100" s="1">
        <f t="shared" si="53"/>
        <v>2.445625</v>
      </c>
      <c r="T100" s="60">
        <f t="shared" si="54"/>
        <v>2.93475</v>
      </c>
      <c r="U100" s="101">
        <f t="shared" si="45"/>
        <v>21459.581151832463</v>
      </c>
      <c r="V100" s="102">
        <f t="shared" si="55"/>
        <v>8199.20436963351</v>
      </c>
      <c r="W100" s="102">
        <f t="shared" si="46"/>
        <v>17022.6</v>
      </c>
      <c r="X100" s="102">
        <f t="shared" si="47"/>
        <v>-102300.66</v>
      </c>
      <c r="Y100" s="103">
        <f t="shared" si="56"/>
        <v>0</v>
      </c>
      <c r="AB100" s="76"/>
      <c r="AC100" s="76"/>
      <c r="AD100" s="76"/>
      <c r="AE100" s="77"/>
      <c r="AF100" s="78"/>
      <c r="AG100" s="24"/>
      <c r="AH100" s="53"/>
      <c r="AI100" s="53"/>
      <c r="AJ100" s="53"/>
      <c r="AK100" s="53"/>
      <c r="AL100" s="53"/>
      <c r="AM100" s="1"/>
      <c r="AN100" s="1"/>
    </row>
    <row r="101" spans="2:40" ht="12.75">
      <c r="B101" s="122">
        <f t="shared" si="48"/>
        <v>39225.023024238246</v>
      </c>
      <c r="C101">
        <v>0</v>
      </c>
      <c r="D101" s="2">
        <v>-0.009</v>
      </c>
      <c r="E101">
        <v>0.6</v>
      </c>
      <c r="F101">
        <f aca="true" t="shared" si="63" ref="F101:F126">E101+F100</f>
        <v>44.300000000000026</v>
      </c>
      <c r="G101" s="1">
        <f t="shared" si="49"/>
        <v>1312.7136000000003</v>
      </c>
      <c r="H101" s="1">
        <f t="shared" si="62"/>
        <v>0</v>
      </c>
      <c r="I101">
        <v>60</v>
      </c>
      <c r="J101" s="64">
        <f aca="true" t="shared" si="64" ref="J101:J126">IF(M101&lt;=N101,M101/L101*308,N101/L101*308)</f>
        <v>60</v>
      </c>
      <c r="K101" s="117">
        <f t="shared" si="60"/>
        <v>0.0004166666666666667</v>
      </c>
      <c r="L101" s="1">
        <f aca="true" t="shared" si="65" ref="L101:L164">SUM(U101:Y101)</f>
        <v>-55619.27447853403</v>
      </c>
      <c r="M101" s="1">
        <f t="shared" si="61"/>
        <v>-10834.923599714422</v>
      </c>
      <c r="N101" s="1">
        <f t="shared" si="27"/>
        <v>21000</v>
      </c>
      <c r="O101" s="74">
        <f aca="true" t="shared" si="66" ref="O101:O164">M101/N101</f>
        <v>-0.515948742843544</v>
      </c>
      <c r="P101" s="84">
        <f t="shared" si="52"/>
        <v>1</v>
      </c>
      <c r="Q101" s="1">
        <f aca="true" t="shared" si="67" ref="Q101:Q164">IF($AB$11*E101/J101*VLOOKUP($AB$10,$AA$34:$AQ$44,MATCH(P101,$AA$34:$AQ$34,),0)&gt;0,$AB$11*E101/J101*VLOOKUP($AB$10,$AA$34:$AQ$44,MATCH(P101,$AA$34:$AQ$34,),0),0)</f>
        <v>1.467375</v>
      </c>
      <c r="R101" s="1">
        <f aca="true" t="shared" si="68" ref="R101:R164">Q101+R100</f>
        <v>1205.2335477510414</v>
      </c>
      <c r="S101" s="1">
        <f aca="true" t="shared" si="69" ref="S101:S164">Q101/E101</f>
        <v>2.445625</v>
      </c>
      <c r="T101" s="60">
        <f t="shared" si="54"/>
        <v>2.93475</v>
      </c>
      <c r="U101" s="101">
        <f aca="true" t="shared" si="70" ref="U101:U164">$AB$11*((VLOOKUP($AB$10,$AA$36:$AI$44,7,0)*VLOOKUP($AB$10,$AA$36:$AI$44,5,0)*I101*I101)/(VLOOKUP($AB$10,$AA$36:$AI$44,9,0)/VLOOKUP($AB$10,$AA$36:$AI$44,8,0))/VLOOKUP($AB$10,$AA$36:$AI$44,8,0))+((VLOOKUP($AB$12,$AA$27:$AH$33,4,0)*VLOOKUP($AB$12,$AA$27:$AH$33,5,0)*I101*I101)/(((VLOOKUP($AB$12,$AA$27:$AH$33,7,0)/2000))/((VLOOKUP($AB$12,$AA$27:$AH$33,8,0))))/VLOOKUP($AB$12,$AA$27:$AH$33,8,0))*$AE$7</f>
        <v>21459.581151832463</v>
      </c>
      <c r="V101" s="102">
        <f t="shared" si="55"/>
        <v>8199.20436963351</v>
      </c>
      <c r="W101" s="102">
        <f aca="true" t="shared" si="71" ref="W101:W164">$AB$11*(VLOOKUP($AB$10,$AA$36:$AI$44,6,0)*I101)+(VLOOKUP($AB$12,$AA$27:$AH$33,3,0)*I101)*$AE$7</f>
        <v>17022.6</v>
      </c>
      <c r="X101" s="102">
        <f aca="true" t="shared" si="72" ref="X101:X164">$AB$11*(20*D101*(VLOOKUP($AB$10,$AA$36:$AI$44,9,0)))+(20*D101*(VLOOKUP($AB$12,$AA$26:$AH$33,7,0)/2000))*$AE$7</f>
        <v>-102300.66</v>
      </c>
      <c r="Y101" s="103">
        <f t="shared" si="56"/>
        <v>0</v>
      </c>
      <c r="AB101" s="76"/>
      <c r="AC101" s="76"/>
      <c r="AD101" s="76"/>
      <c r="AE101" s="77"/>
      <c r="AF101" s="78"/>
      <c r="AG101" s="24"/>
      <c r="AH101" s="53"/>
      <c r="AI101" s="53"/>
      <c r="AJ101" s="53"/>
      <c r="AK101" s="53"/>
      <c r="AL101" s="53"/>
      <c r="AM101" s="1"/>
      <c r="AN101" s="1"/>
    </row>
    <row r="102" spans="2:40" ht="12.75">
      <c r="B102" s="122">
        <f t="shared" si="48"/>
        <v>39225.023440904915</v>
      </c>
      <c r="C102">
        <v>0</v>
      </c>
      <c r="D102" s="2">
        <v>-0.008</v>
      </c>
      <c r="E102">
        <v>0.6</v>
      </c>
      <c r="F102">
        <f t="shared" si="63"/>
        <v>44.90000000000003</v>
      </c>
      <c r="G102" s="1">
        <f t="shared" si="49"/>
        <v>1287.3696000000002</v>
      </c>
      <c r="H102" s="1">
        <f t="shared" si="62"/>
        <v>0</v>
      </c>
      <c r="I102">
        <v>60</v>
      </c>
      <c r="J102" s="64">
        <f t="shared" si="64"/>
        <v>60</v>
      </c>
      <c r="K102" s="117">
        <f t="shared" si="60"/>
        <v>0.0004166666666666667</v>
      </c>
      <c r="L102" s="1">
        <f t="shared" si="65"/>
        <v>-44252.53447853403</v>
      </c>
      <c r="M102" s="1">
        <f t="shared" si="61"/>
        <v>-8620.623599714421</v>
      </c>
      <c r="N102" s="1">
        <f t="shared" si="27"/>
        <v>21000</v>
      </c>
      <c r="O102" s="74">
        <f t="shared" si="66"/>
        <v>-0.41050588570068675</v>
      </c>
      <c r="P102" s="84">
        <f t="shared" si="52"/>
        <v>1</v>
      </c>
      <c r="Q102" s="1">
        <f t="shared" si="67"/>
        <v>1.467375</v>
      </c>
      <c r="R102" s="1">
        <f t="shared" si="68"/>
        <v>1206.7009227510414</v>
      </c>
      <c r="S102" s="1">
        <f t="shared" si="69"/>
        <v>2.445625</v>
      </c>
      <c r="T102" s="60">
        <f t="shared" si="54"/>
        <v>2.93475</v>
      </c>
      <c r="U102" s="101">
        <f t="shared" si="70"/>
        <v>21459.581151832463</v>
      </c>
      <c r="V102" s="102">
        <f t="shared" si="55"/>
        <v>8199.20436963351</v>
      </c>
      <c r="W102" s="102">
        <f t="shared" si="71"/>
        <v>17022.6</v>
      </c>
      <c r="X102" s="102">
        <f t="shared" si="72"/>
        <v>-90933.92</v>
      </c>
      <c r="Y102" s="103">
        <f t="shared" si="56"/>
        <v>0</v>
      </c>
      <c r="AB102" s="76"/>
      <c r="AC102" s="76"/>
      <c r="AD102" s="76"/>
      <c r="AE102" s="77"/>
      <c r="AF102" s="78"/>
      <c r="AG102" s="24"/>
      <c r="AH102" s="53"/>
      <c r="AI102" s="53"/>
      <c r="AJ102" s="53"/>
      <c r="AK102" s="53"/>
      <c r="AL102" s="53"/>
      <c r="AM102" s="1"/>
      <c r="AN102" s="1"/>
    </row>
    <row r="103" spans="2:40" ht="12.75">
      <c r="B103" s="122">
        <f t="shared" si="48"/>
        <v>39225.023857571585</v>
      </c>
      <c r="C103">
        <v>0</v>
      </c>
      <c r="D103" s="2">
        <v>-0.007</v>
      </c>
      <c r="E103">
        <v>0.6</v>
      </c>
      <c r="F103">
        <f t="shared" si="63"/>
        <v>45.50000000000003</v>
      </c>
      <c r="G103" s="1">
        <f t="shared" si="49"/>
        <v>1265.1936000000003</v>
      </c>
      <c r="H103" s="1">
        <f t="shared" si="62"/>
        <v>0</v>
      </c>
      <c r="I103">
        <v>60</v>
      </c>
      <c r="J103" s="64">
        <f t="shared" si="64"/>
        <v>60</v>
      </c>
      <c r="K103" s="117">
        <f t="shared" si="60"/>
        <v>0.0004166666666666667</v>
      </c>
      <c r="L103" s="1">
        <f t="shared" si="65"/>
        <v>-32885.79447853404</v>
      </c>
      <c r="M103" s="1">
        <f t="shared" si="61"/>
        <v>-6406.323599714423</v>
      </c>
      <c r="N103" s="1">
        <f t="shared" si="27"/>
        <v>21000</v>
      </c>
      <c r="O103" s="74">
        <f t="shared" si="66"/>
        <v>-0.3050630285578297</v>
      </c>
      <c r="P103" s="84">
        <f t="shared" si="52"/>
        <v>1</v>
      </c>
      <c r="Q103" s="1">
        <f t="shared" si="67"/>
        <v>1.467375</v>
      </c>
      <c r="R103" s="1">
        <f t="shared" si="68"/>
        <v>1208.1682977510413</v>
      </c>
      <c r="S103" s="1">
        <f t="shared" si="69"/>
        <v>2.445625</v>
      </c>
      <c r="T103" s="60">
        <f t="shared" si="54"/>
        <v>2.93475</v>
      </c>
      <c r="U103" s="101">
        <f t="shared" si="70"/>
        <v>21459.581151832463</v>
      </c>
      <c r="V103" s="102">
        <f t="shared" si="55"/>
        <v>8199.20436963351</v>
      </c>
      <c r="W103" s="102">
        <f t="shared" si="71"/>
        <v>17022.6</v>
      </c>
      <c r="X103" s="102">
        <f t="shared" si="72"/>
        <v>-79567.18000000001</v>
      </c>
      <c r="Y103" s="103">
        <f t="shared" si="56"/>
        <v>0</v>
      </c>
      <c r="AB103" s="76"/>
      <c r="AC103" s="76"/>
      <c r="AD103" s="76"/>
      <c r="AE103" s="77"/>
      <c r="AF103" s="78"/>
      <c r="AG103" s="24"/>
      <c r="AH103" s="53"/>
      <c r="AI103" s="53"/>
      <c r="AJ103" s="53"/>
      <c r="AK103" s="53"/>
      <c r="AL103" s="53"/>
      <c r="AM103" s="1"/>
      <c r="AN103" s="1"/>
    </row>
    <row r="104" spans="2:40" ht="12.75">
      <c r="B104" s="122">
        <f t="shared" si="48"/>
        <v>39225.024274238254</v>
      </c>
      <c r="C104">
        <v>0</v>
      </c>
      <c r="D104" s="2">
        <v>-0.006</v>
      </c>
      <c r="E104">
        <v>0.6</v>
      </c>
      <c r="F104">
        <f t="shared" si="63"/>
        <v>46.10000000000003</v>
      </c>
      <c r="G104" s="1">
        <f t="shared" si="49"/>
        <v>1246.1856000000002</v>
      </c>
      <c r="H104" s="1">
        <f t="shared" si="62"/>
        <v>0</v>
      </c>
      <c r="I104">
        <v>60</v>
      </c>
      <c r="J104" s="64">
        <f t="shared" si="64"/>
        <v>60</v>
      </c>
      <c r="K104" s="117">
        <f t="shared" si="60"/>
        <v>0.0004166666666666667</v>
      </c>
      <c r="L104" s="1">
        <f t="shared" si="65"/>
        <v>-21519.05447853403</v>
      </c>
      <c r="M104" s="1">
        <f t="shared" si="61"/>
        <v>-4192.023599714422</v>
      </c>
      <c r="N104" s="1">
        <f t="shared" si="27"/>
        <v>21000</v>
      </c>
      <c r="O104" s="74">
        <f t="shared" si="66"/>
        <v>-0.19962017141497246</v>
      </c>
      <c r="P104" s="84">
        <f t="shared" si="52"/>
        <v>1</v>
      </c>
      <c r="Q104" s="1">
        <f t="shared" si="67"/>
        <v>1.467375</v>
      </c>
      <c r="R104" s="1">
        <f t="shared" si="68"/>
        <v>1209.6356727510413</v>
      </c>
      <c r="S104" s="1">
        <f t="shared" si="69"/>
        <v>2.445625</v>
      </c>
      <c r="T104" s="60">
        <f t="shared" si="54"/>
        <v>2.93475</v>
      </c>
      <c r="U104" s="101">
        <f t="shared" si="70"/>
        <v>21459.581151832463</v>
      </c>
      <c r="V104" s="102">
        <f t="shared" si="55"/>
        <v>8199.20436963351</v>
      </c>
      <c r="W104" s="102">
        <f t="shared" si="71"/>
        <v>17022.6</v>
      </c>
      <c r="X104" s="102">
        <f t="shared" si="72"/>
        <v>-68200.44</v>
      </c>
      <c r="Y104" s="103">
        <f t="shared" si="56"/>
        <v>0</v>
      </c>
      <c r="AB104" s="76"/>
      <c r="AC104" s="76"/>
      <c r="AD104" s="76"/>
      <c r="AE104" s="77"/>
      <c r="AF104" s="78"/>
      <c r="AG104" s="24"/>
      <c r="AH104" s="53"/>
      <c r="AI104" s="53"/>
      <c r="AJ104" s="53"/>
      <c r="AK104" s="53"/>
      <c r="AL104" s="53"/>
      <c r="AM104" s="1"/>
      <c r="AN104" s="1"/>
    </row>
    <row r="105" spans="2:40" ht="12.75">
      <c r="B105" s="122">
        <f t="shared" si="48"/>
        <v>39225.024690904924</v>
      </c>
      <c r="C105">
        <v>0</v>
      </c>
      <c r="D105" s="2">
        <v>-0.006</v>
      </c>
      <c r="E105">
        <v>0.6</v>
      </c>
      <c r="F105">
        <f t="shared" si="63"/>
        <v>46.70000000000003</v>
      </c>
      <c r="G105" s="1">
        <f t="shared" si="49"/>
        <v>1227.1776000000002</v>
      </c>
      <c r="H105" s="1">
        <f t="shared" si="62"/>
        <v>0</v>
      </c>
      <c r="I105">
        <v>60</v>
      </c>
      <c r="J105" s="64">
        <f t="shared" si="64"/>
        <v>60</v>
      </c>
      <c r="K105" s="117">
        <f t="shared" si="60"/>
        <v>0.0004166666666666667</v>
      </c>
      <c r="L105" s="1">
        <f t="shared" si="65"/>
        <v>-21519.05447853403</v>
      </c>
      <c r="M105" s="1">
        <f t="shared" si="61"/>
        <v>-4192.023599714422</v>
      </c>
      <c r="N105" s="1">
        <f t="shared" si="27"/>
        <v>21000</v>
      </c>
      <c r="O105" s="74">
        <f t="shared" si="66"/>
        <v>-0.19962017141497246</v>
      </c>
      <c r="P105" s="84">
        <f t="shared" si="52"/>
        <v>1</v>
      </c>
      <c r="Q105" s="1">
        <f t="shared" si="67"/>
        <v>1.467375</v>
      </c>
      <c r="R105" s="1">
        <f t="shared" si="68"/>
        <v>1211.1030477510412</v>
      </c>
      <c r="S105" s="1">
        <f t="shared" si="69"/>
        <v>2.445625</v>
      </c>
      <c r="T105" s="60">
        <f t="shared" si="54"/>
        <v>2.93475</v>
      </c>
      <c r="U105" s="101">
        <f t="shared" si="70"/>
        <v>21459.581151832463</v>
      </c>
      <c r="V105" s="102">
        <f t="shared" si="55"/>
        <v>8199.20436963351</v>
      </c>
      <c r="W105" s="102">
        <f t="shared" si="71"/>
        <v>17022.6</v>
      </c>
      <c r="X105" s="102">
        <f t="shared" si="72"/>
        <v>-68200.44</v>
      </c>
      <c r="Y105" s="103">
        <f t="shared" si="56"/>
        <v>0</v>
      </c>
      <c r="AB105" s="76"/>
      <c r="AC105" s="76"/>
      <c r="AD105" s="76"/>
      <c r="AE105" s="77"/>
      <c r="AF105" s="78"/>
      <c r="AG105" s="24"/>
      <c r="AH105" s="53"/>
      <c r="AI105" s="53"/>
      <c r="AJ105" s="53"/>
      <c r="AK105" s="53"/>
      <c r="AL105" s="53"/>
      <c r="AM105" s="1"/>
      <c r="AN105" s="1"/>
    </row>
    <row r="106" spans="2:40" ht="12.75">
      <c r="B106" s="122">
        <f t="shared" si="48"/>
        <v>39225.02510757159</v>
      </c>
      <c r="C106">
        <v>0</v>
      </c>
      <c r="D106" s="2">
        <v>-0.005</v>
      </c>
      <c r="E106">
        <v>0.6</v>
      </c>
      <c r="F106">
        <f t="shared" si="63"/>
        <v>47.30000000000003</v>
      </c>
      <c r="G106" s="1">
        <f t="shared" si="49"/>
        <v>1211.3376000000003</v>
      </c>
      <c r="H106" s="1">
        <f t="shared" si="62"/>
        <v>0</v>
      </c>
      <c r="I106">
        <v>60</v>
      </c>
      <c r="J106" s="64">
        <f t="shared" si="64"/>
        <v>59.99999999999999</v>
      </c>
      <c r="K106" s="117">
        <f t="shared" si="60"/>
        <v>0.0004166666666666667</v>
      </c>
      <c r="L106" s="1">
        <f t="shared" si="65"/>
        <v>-10152.314478534026</v>
      </c>
      <c r="M106" s="1">
        <f t="shared" si="61"/>
        <v>-1977.7235997144205</v>
      </c>
      <c r="N106" s="1">
        <f aca="true" t="shared" si="73" ref="N106:N169">$AB$11*(VLOOKUP($AB$10,$AA$36:$AI$44,4,0))</f>
        <v>21000</v>
      </c>
      <c r="O106" s="74">
        <f t="shared" si="66"/>
        <v>-0.09417731427211526</v>
      </c>
      <c r="P106" s="84">
        <f t="shared" si="52"/>
        <v>1</v>
      </c>
      <c r="Q106" s="1">
        <f t="shared" si="67"/>
        <v>1.467375</v>
      </c>
      <c r="R106" s="1">
        <f t="shared" si="68"/>
        <v>1212.5704227510412</v>
      </c>
      <c r="S106" s="1">
        <f t="shared" si="69"/>
        <v>2.445625</v>
      </c>
      <c r="T106" s="60">
        <f t="shared" si="54"/>
        <v>2.93475</v>
      </c>
      <c r="U106" s="101">
        <f t="shared" si="70"/>
        <v>21459.581151832463</v>
      </c>
      <c r="V106" s="102">
        <f t="shared" si="55"/>
        <v>8199.20436963351</v>
      </c>
      <c r="W106" s="102">
        <f t="shared" si="71"/>
        <v>17022.6</v>
      </c>
      <c r="X106" s="102">
        <f t="shared" si="72"/>
        <v>-56833.7</v>
      </c>
      <c r="Y106" s="103">
        <f t="shared" si="56"/>
        <v>0</v>
      </c>
      <c r="AB106" s="76"/>
      <c r="AC106" s="76"/>
      <c r="AD106" s="76"/>
      <c r="AE106" s="77"/>
      <c r="AF106" s="78"/>
      <c r="AG106" s="24"/>
      <c r="AH106" s="53"/>
      <c r="AI106" s="53"/>
      <c r="AJ106" s="53"/>
      <c r="AK106" s="53"/>
      <c r="AL106" s="53"/>
      <c r="AM106" s="1"/>
      <c r="AN106" s="1"/>
    </row>
    <row r="107" spans="2:40" ht="12.75">
      <c r="B107" s="122">
        <f t="shared" si="48"/>
        <v>39225.02552423826</v>
      </c>
      <c r="C107">
        <v>1</v>
      </c>
      <c r="D107" s="2">
        <v>-0.005</v>
      </c>
      <c r="E107">
        <v>0.6</v>
      </c>
      <c r="F107">
        <f t="shared" si="63"/>
        <v>47.900000000000034</v>
      </c>
      <c r="G107" s="1">
        <f t="shared" si="49"/>
        <v>1195.4976000000004</v>
      </c>
      <c r="H107" s="1">
        <f t="shared" si="62"/>
        <v>0</v>
      </c>
      <c r="I107">
        <v>60</v>
      </c>
      <c r="J107" s="64">
        <f t="shared" si="64"/>
        <v>60</v>
      </c>
      <c r="K107" s="117">
        <f t="shared" si="60"/>
        <v>0.0004166666666666667</v>
      </c>
      <c r="L107" s="1">
        <f t="shared" si="65"/>
        <v>5724.220321465973</v>
      </c>
      <c r="M107" s="1">
        <f t="shared" si="61"/>
        <v>1115.1078548310338</v>
      </c>
      <c r="N107" s="1">
        <f t="shared" si="73"/>
        <v>21000</v>
      </c>
      <c r="O107" s="74">
        <f t="shared" si="66"/>
        <v>0.05310037403957304</v>
      </c>
      <c r="P107" s="84">
        <f t="shared" si="52"/>
        <v>1</v>
      </c>
      <c r="Q107" s="1">
        <f t="shared" si="67"/>
        <v>1.467375</v>
      </c>
      <c r="R107" s="1">
        <f t="shared" si="68"/>
        <v>1214.0377977510411</v>
      </c>
      <c r="S107" s="1">
        <f t="shared" si="69"/>
        <v>2.445625</v>
      </c>
      <c r="T107" s="60">
        <f t="shared" si="54"/>
        <v>2.93475</v>
      </c>
      <c r="U107" s="101">
        <f t="shared" si="70"/>
        <v>21459.581151832463</v>
      </c>
      <c r="V107" s="102">
        <f t="shared" si="55"/>
        <v>8199.20436963351</v>
      </c>
      <c r="W107" s="102">
        <f t="shared" si="71"/>
        <v>17022.6</v>
      </c>
      <c r="X107" s="102">
        <f t="shared" si="72"/>
        <v>-56833.7</v>
      </c>
      <c r="Y107" s="103">
        <f t="shared" si="56"/>
        <v>15876.5348</v>
      </c>
      <c r="AB107" s="76"/>
      <c r="AC107" s="76"/>
      <c r="AD107" s="76"/>
      <c r="AE107" s="77"/>
      <c r="AF107" s="78"/>
      <c r="AG107" s="24"/>
      <c r="AH107" s="53"/>
      <c r="AI107" s="53"/>
      <c r="AJ107" s="53"/>
      <c r="AK107" s="53"/>
      <c r="AL107" s="53"/>
      <c r="AM107" s="1"/>
      <c r="AN107" s="1"/>
    </row>
    <row r="108" spans="2:40" ht="12.75">
      <c r="B108" s="122">
        <f t="shared" si="48"/>
        <v>39225.02594090493</v>
      </c>
      <c r="C108">
        <v>1</v>
      </c>
      <c r="D108" s="2">
        <v>-0.004</v>
      </c>
      <c r="E108">
        <v>0.6</v>
      </c>
      <c r="F108">
        <f t="shared" si="63"/>
        <v>48.500000000000036</v>
      </c>
      <c r="G108" s="1">
        <f t="shared" si="49"/>
        <v>1182.8256000000003</v>
      </c>
      <c r="H108" s="1">
        <f t="shared" si="62"/>
        <v>0</v>
      </c>
      <c r="I108">
        <v>60</v>
      </c>
      <c r="J108" s="64">
        <f t="shared" si="64"/>
        <v>60</v>
      </c>
      <c r="K108" s="117">
        <f t="shared" si="60"/>
        <v>0.0004166666666666667</v>
      </c>
      <c r="L108" s="1">
        <f t="shared" si="65"/>
        <v>32966.96032146597</v>
      </c>
      <c r="M108" s="1">
        <f t="shared" si="61"/>
        <v>6422.1351275583065</v>
      </c>
      <c r="N108" s="1">
        <f t="shared" si="73"/>
        <v>21000</v>
      </c>
      <c r="O108" s="74">
        <f t="shared" si="66"/>
        <v>0.30581595845515747</v>
      </c>
      <c r="P108" s="84">
        <f t="shared" si="52"/>
        <v>3</v>
      </c>
      <c r="Q108" s="1">
        <f t="shared" si="67"/>
        <v>4.402125</v>
      </c>
      <c r="R108" s="1">
        <f t="shared" si="68"/>
        <v>1218.4399227510412</v>
      </c>
      <c r="S108" s="1">
        <f t="shared" si="69"/>
        <v>7.336875</v>
      </c>
      <c r="T108" s="60">
        <f t="shared" si="54"/>
        <v>8.80425</v>
      </c>
      <c r="U108" s="101">
        <f t="shared" si="70"/>
        <v>21459.581151832463</v>
      </c>
      <c r="V108" s="102">
        <f t="shared" si="55"/>
        <v>8199.20436963351</v>
      </c>
      <c r="W108" s="102">
        <f t="shared" si="71"/>
        <v>17022.6</v>
      </c>
      <c r="X108" s="102">
        <f t="shared" si="72"/>
        <v>-45466.96</v>
      </c>
      <c r="Y108" s="103">
        <f t="shared" si="56"/>
        <v>31752.5348</v>
      </c>
      <c r="AB108" s="76"/>
      <c r="AC108" s="76"/>
      <c r="AD108" s="76"/>
      <c r="AE108" s="77"/>
      <c r="AF108" s="78"/>
      <c r="AG108" s="24"/>
      <c r="AH108" s="53"/>
      <c r="AI108" s="53"/>
      <c r="AJ108" s="53"/>
      <c r="AK108" s="53"/>
      <c r="AL108" s="53"/>
      <c r="AM108" s="1"/>
      <c r="AN108" s="1"/>
    </row>
    <row r="109" spans="2:40" ht="12.75">
      <c r="B109" s="122">
        <f t="shared" si="48"/>
        <v>39225.0263575716</v>
      </c>
      <c r="C109">
        <v>1</v>
      </c>
      <c r="D109" s="2">
        <v>-0.004</v>
      </c>
      <c r="E109">
        <v>0.6</v>
      </c>
      <c r="F109">
        <f t="shared" si="63"/>
        <v>49.10000000000004</v>
      </c>
      <c r="G109" s="1">
        <f t="shared" si="49"/>
        <v>1170.1536000000003</v>
      </c>
      <c r="H109" s="1">
        <f>IF(G109-G108&gt;0,G109-G108,0)</f>
        <v>0</v>
      </c>
      <c r="I109">
        <v>60</v>
      </c>
      <c r="J109" s="64">
        <f t="shared" si="64"/>
        <v>60</v>
      </c>
      <c r="K109" s="117">
        <f t="shared" si="60"/>
        <v>0.0004166666666666667</v>
      </c>
      <c r="L109" s="1">
        <f t="shared" si="65"/>
        <v>32966.96032146597</v>
      </c>
      <c r="M109" s="1">
        <f t="shared" si="61"/>
        <v>6422.1351275583065</v>
      </c>
      <c r="N109" s="1">
        <f t="shared" si="73"/>
        <v>21000</v>
      </c>
      <c r="O109" s="74">
        <f t="shared" si="66"/>
        <v>0.30581595845515747</v>
      </c>
      <c r="P109" s="84">
        <f t="shared" si="52"/>
        <v>3</v>
      </c>
      <c r="Q109" s="1">
        <f t="shared" si="67"/>
        <v>4.402125</v>
      </c>
      <c r="R109" s="1">
        <f t="shared" si="68"/>
        <v>1222.8420477510413</v>
      </c>
      <c r="S109" s="1">
        <f t="shared" si="69"/>
        <v>7.336875</v>
      </c>
      <c r="T109" s="60">
        <f t="shared" si="54"/>
        <v>8.80425</v>
      </c>
      <c r="U109" s="101">
        <f t="shared" si="70"/>
        <v>21459.581151832463</v>
      </c>
      <c r="V109" s="102">
        <f t="shared" si="55"/>
        <v>8199.20436963351</v>
      </c>
      <c r="W109" s="102">
        <f t="shared" si="71"/>
        <v>17022.6</v>
      </c>
      <c r="X109" s="102">
        <f t="shared" si="72"/>
        <v>-45466.96</v>
      </c>
      <c r="Y109" s="103">
        <f t="shared" si="56"/>
        <v>31752.5348</v>
      </c>
      <c r="AB109" s="76"/>
      <c r="AC109" s="76"/>
      <c r="AD109" s="76"/>
      <c r="AE109" s="77"/>
      <c r="AF109" s="78"/>
      <c r="AG109" s="24"/>
      <c r="AH109" s="53"/>
      <c r="AI109" s="53"/>
      <c r="AJ109" s="53"/>
      <c r="AK109" s="53"/>
      <c r="AL109" s="53"/>
      <c r="AM109" s="1"/>
      <c r="AN109" s="1"/>
    </row>
    <row r="110" spans="2:40" ht="12.75">
      <c r="B110" s="122">
        <f t="shared" si="48"/>
        <v>39225.02677423827</v>
      </c>
      <c r="C110">
        <v>0</v>
      </c>
      <c r="D110" s="2">
        <v>-0.003</v>
      </c>
      <c r="E110">
        <v>0.6</v>
      </c>
      <c r="F110">
        <f t="shared" si="63"/>
        <v>49.70000000000004</v>
      </c>
      <c r="G110" s="1">
        <f t="shared" si="49"/>
        <v>1160.6496000000004</v>
      </c>
      <c r="H110" s="1">
        <f aca="true" t="shared" si="74" ref="H110:H123">IF(G110-G109&gt;0,G110-G109,0)</f>
        <v>0</v>
      </c>
      <c r="I110">
        <v>60</v>
      </c>
      <c r="J110" s="64">
        <f t="shared" si="64"/>
        <v>60</v>
      </c>
      <c r="K110" s="117">
        <f t="shared" si="60"/>
        <v>0.0004166666666666667</v>
      </c>
      <c r="L110" s="1">
        <f t="shared" si="65"/>
        <v>28457.16552146597</v>
      </c>
      <c r="M110" s="1">
        <f t="shared" si="61"/>
        <v>5543.603673012852</v>
      </c>
      <c r="N110" s="1">
        <f t="shared" si="73"/>
        <v>21000</v>
      </c>
      <c r="O110" s="74">
        <f t="shared" si="66"/>
        <v>0.2639811272863263</v>
      </c>
      <c r="P110" s="84">
        <f t="shared" si="52"/>
        <v>2</v>
      </c>
      <c r="Q110" s="1">
        <f t="shared" si="67"/>
        <v>2.93475</v>
      </c>
      <c r="R110" s="1">
        <f t="shared" si="68"/>
        <v>1225.7767977510412</v>
      </c>
      <c r="S110" s="1">
        <f t="shared" si="69"/>
        <v>4.89125</v>
      </c>
      <c r="T110" s="60">
        <f t="shared" si="54"/>
        <v>5.8695</v>
      </c>
      <c r="U110" s="101">
        <f t="shared" si="70"/>
        <v>21459.581151832463</v>
      </c>
      <c r="V110" s="102">
        <f t="shared" si="55"/>
        <v>8199.20436963351</v>
      </c>
      <c r="W110" s="102">
        <f t="shared" si="71"/>
        <v>17022.6</v>
      </c>
      <c r="X110" s="102">
        <f t="shared" si="72"/>
        <v>-34100.22</v>
      </c>
      <c r="Y110" s="103">
        <f t="shared" si="56"/>
        <v>15876</v>
      </c>
      <c r="AB110" s="76"/>
      <c r="AC110" s="76"/>
      <c r="AD110" s="76"/>
      <c r="AE110" s="77"/>
      <c r="AF110" s="78"/>
      <c r="AG110" s="24"/>
      <c r="AH110" s="53"/>
      <c r="AI110" s="53"/>
      <c r="AJ110" s="53"/>
      <c r="AK110" s="53"/>
      <c r="AL110" s="53"/>
      <c r="AM110" s="1"/>
      <c r="AN110" s="1"/>
    </row>
    <row r="111" spans="2:40" ht="12.75">
      <c r="B111" s="122">
        <f t="shared" si="48"/>
        <v>39225.02719090494</v>
      </c>
      <c r="C111">
        <v>0</v>
      </c>
      <c r="D111" s="2">
        <v>0</v>
      </c>
      <c r="E111">
        <v>0.6</v>
      </c>
      <c r="F111">
        <f t="shared" si="63"/>
        <v>50.30000000000004</v>
      </c>
      <c r="G111" s="1">
        <f t="shared" si="49"/>
        <v>1160.6496000000004</v>
      </c>
      <c r="H111" s="1">
        <f t="shared" si="74"/>
        <v>0</v>
      </c>
      <c r="I111">
        <v>60</v>
      </c>
      <c r="J111" s="64">
        <f t="shared" si="64"/>
        <v>60.000000000000014</v>
      </c>
      <c r="K111" s="117">
        <f t="shared" si="60"/>
        <v>0.00041666666666666653</v>
      </c>
      <c r="L111" s="1">
        <f t="shared" si="65"/>
        <v>46681.38552146597</v>
      </c>
      <c r="M111" s="1">
        <f t="shared" si="61"/>
        <v>9093.77640028558</v>
      </c>
      <c r="N111" s="1">
        <f t="shared" si="73"/>
        <v>21000</v>
      </c>
      <c r="O111" s="74">
        <f t="shared" si="66"/>
        <v>0.43303697144217046</v>
      </c>
      <c r="P111" s="84">
        <f t="shared" si="52"/>
        <v>4</v>
      </c>
      <c r="Q111" s="1">
        <f t="shared" si="67"/>
        <v>5.869499999999999</v>
      </c>
      <c r="R111" s="1">
        <f t="shared" si="68"/>
        <v>1231.6462977510412</v>
      </c>
      <c r="S111" s="1">
        <f t="shared" si="69"/>
        <v>9.782499999999999</v>
      </c>
      <c r="T111" s="60">
        <f t="shared" si="54"/>
        <v>11.738999999999997</v>
      </c>
      <c r="U111" s="101">
        <f t="shared" si="70"/>
        <v>21459.581151832463</v>
      </c>
      <c r="V111" s="102">
        <f t="shared" si="55"/>
        <v>8199.20436963351</v>
      </c>
      <c r="W111" s="102">
        <f t="shared" si="71"/>
        <v>17022.6</v>
      </c>
      <c r="X111" s="102">
        <f t="shared" si="72"/>
        <v>0</v>
      </c>
      <c r="Y111" s="103">
        <f t="shared" si="56"/>
        <v>0</v>
      </c>
      <c r="AB111" s="76"/>
      <c r="AC111" s="76"/>
      <c r="AD111" s="76"/>
      <c r="AE111" s="77"/>
      <c r="AF111" s="78"/>
      <c r="AG111" s="24"/>
      <c r="AH111" s="53"/>
      <c r="AI111" s="53"/>
      <c r="AJ111" s="53"/>
      <c r="AK111" s="53"/>
      <c r="AL111" s="53"/>
      <c r="AM111" s="1"/>
      <c r="AN111" s="1"/>
    </row>
    <row r="112" spans="2:40" ht="12.75">
      <c r="B112" s="122">
        <f t="shared" si="48"/>
        <v>39225.02760757161</v>
      </c>
      <c r="C112">
        <v>0</v>
      </c>
      <c r="D112" s="2">
        <v>0</v>
      </c>
      <c r="E112">
        <v>0.6</v>
      </c>
      <c r="F112">
        <f t="shared" si="63"/>
        <v>50.90000000000004</v>
      </c>
      <c r="G112" s="1">
        <f t="shared" si="49"/>
        <v>1160.6496000000004</v>
      </c>
      <c r="H112" s="1">
        <f t="shared" si="74"/>
        <v>0</v>
      </c>
      <c r="I112">
        <v>60</v>
      </c>
      <c r="J112" s="64">
        <f t="shared" si="64"/>
        <v>60.000000000000014</v>
      </c>
      <c r="K112" s="117">
        <f t="shared" si="60"/>
        <v>0.00041666666666666653</v>
      </c>
      <c r="L112" s="1">
        <f t="shared" si="65"/>
        <v>46681.38552146597</v>
      </c>
      <c r="M112" s="1">
        <f t="shared" si="61"/>
        <v>9093.77640028558</v>
      </c>
      <c r="N112" s="1">
        <f t="shared" si="73"/>
        <v>21000</v>
      </c>
      <c r="O112" s="74">
        <f t="shared" si="66"/>
        <v>0.43303697144217046</v>
      </c>
      <c r="P112" s="84">
        <f t="shared" si="52"/>
        <v>4</v>
      </c>
      <c r="Q112" s="1">
        <f t="shared" si="67"/>
        <v>5.869499999999999</v>
      </c>
      <c r="R112" s="1">
        <f t="shared" si="68"/>
        <v>1237.5157977510412</v>
      </c>
      <c r="S112" s="1">
        <f t="shared" si="69"/>
        <v>9.782499999999999</v>
      </c>
      <c r="T112" s="60">
        <f t="shared" si="54"/>
        <v>11.738999999999997</v>
      </c>
      <c r="U112" s="101">
        <f t="shared" si="70"/>
        <v>21459.581151832463</v>
      </c>
      <c r="V112" s="102">
        <f t="shared" si="55"/>
        <v>8199.20436963351</v>
      </c>
      <c r="W112" s="102">
        <f t="shared" si="71"/>
        <v>17022.6</v>
      </c>
      <c r="X112" s="102">
        <f t="shared" si="72"/>
        <v>0</v>
      </c>
      <c r="Y112" s="103">
        <f t="shared" si="56"/>
        <v>0</v>
      </c>
      <c r="AB112" s="76"/>
      <c r="AC112" s="76"/>
      <c r="AD112" s="76"/>
      <c r="AE112" s="77"/>
      <c r="AF112" s="78"/>
      <c r="AG112" s="24"/>
      <c r="AH112" s="53"/>
      <c r="AI112" s="53"/>
      <c r="AJ112" s="53"/>
      <c r="AK112" s="53"/>
      <c r="AL112" s="53"/>
      <c r="AM112" s="1"/>
      <c r="AN112" s="1"/>
    </row>
    <row r="113" spans="2:40" ht="12.75">
      <c r="B113" s="122">
        <f t="shared" si="48"/>
        <v>39225.02802423828</v>
      </c>
      <c r="C113">
        <v>0</v>
      </c>
      <c r="D113" s="2">
        <v>-0.004</v>
      </c>
      <c r="E113">
        <v>0.6</v>
      </c>
      <c r="F113">
        <f t="shared" si="63"/>
        <v>51.50000000000004</v>
      </c>
      <c r="G113" s="1">
        <f t="shared" si="49"/>
        <v>1147.9776000000004</v>
      </c>
      <c r="H113" s="1">
        <f t="shared" si="74"/>
        <v>0</v>
      </c>
      <c r="I113">
        <v>60</v>
      </c>
      <c r="J113" s="64">
        <f t="shared" si="64"/>
        <v>60</v>
      </c>
      <c r="K113" s="117">
        <f t="shared" si="60"/>
        <v>0.0004166666666666667</v>
      </c>
      <c r="L113" s="1">
        <f t="shared" si="65"/>
        <v>1214.4255214659715</v>
      </c>
      <c r="M113" s="1">
        <f t="shared" si="61"/>
        <v>236.57640028557887</v>
      </c>
      <c r="N113" s="1">
        <f t="shared" si="73"/>
        <v>21000</v>
      </c>
      <c r="O113" s="74">
        <f t="shared" si="66"/>
        <v>0.011265542870741852</v>
      </c>
      <c r="P113" s="84">
        <f t="shared" si="52"/>
        <v>1</v>
      </c>
      <c r="Q113" s="1">
        <f t="shared" si="67"/>
        <v>1.467375</v>
      </c>
      <c r="R113" s="1">
        <f t="shared" si="68"/>
        <v>1238.9831727510411</v>
      </c>
      <c r="S113" s="1">
        <f t="shared" si="69"/>
        <v>2.445625</v>
      </c>
      <c r="T113" s="60">
        <f t="shared" si="54"/>
        <v>2.93475</v>
      </c>
      <c r="U113" s="101">
        <f t="shared" si="70"/>
        <v>21459.581151832463</v>
      </c>
      <c r="V113" s="102">
        <f t="shared" si="55"/>
        <v>8199.20436963351</v>
      </c>
      <c r="W113" s="102">
        <f t="shared" si="71"/>
        <v>17022.6</v>
      </c>
      <c r="X113" s="102">
        <f t="shared" si="72"/>
        <v>-45466.96</v>
      </c>
      <c r="Y113" s="103">
        <f t="shared" si="56"/>
        <v>0</v>
      </c>
      <c r="AB113" s="76"/>
      <c r="AC113" s="76"/>
      <c r="AD113" s="76"/>
      <c r="AE113" s="77"/>
      <c r="AF113" s="78"/>
      <c r="AG113" s="24"/>
      <c r="AH113" s="53"/>
      <c r="AI113" s="53"/>
      <c r="AJ113" s="53"/>
      <c r="AK113" s="53"/>
      <c r="AL113" s="53"/>
      <c r="AM113" s="1"/>
      <c r="AN113" s="1"/>
    </row>
    <row r="114" spans="2:40" ht="12.75">
      <c r="B114" s="122">
        <f t="shared" si="48"/>
        <v>39225.02844090495</v>
      </c>
      <c r="C114">
        <v>0</v>
      </c>
      <c r="D114" s="2">
        <v>-0.004</v>
      </c>
      <c r="E114">
        <v>0.6</v>
      </c>
      <c r="F114">
        <f t="shared" si="63"/>
        <v>52.100000000000044</v>
      </c>
      <c r="G114" s="1">
        <f t="shared" si="49"/>
        <v>1135.3056000000004</v>
      </c>
      <c r="H114" s="1">
        <f t="shared" si="74"/>
        <v>0</v>
      </c>
      <c r="I114">
        <v>60</v>
      </c>
      <c r="J114" s="64">
        <f t="shared" si="64"/>
        <v>60</v>
      </c>
      <c r="K114" s="117">
        <f t="shared" si="60"/>
        <v>0.0004166666666666667</v>
      </c>
      <c r="L114" s="1">
        <f t="shared" si="65"/>
        <v>1214.4255214659715</v>
      </c>
      <c r="M114" s="1">
        <f t="shared" si="61"/>
        <v>236.57640028557887</v>
      </c>
      <c r="N114" s="1">
        <f t="shared" si="73"/>
        <v>21000</v>
      </c>
      <c r="O114" s="74">
        <f t="shared" si="66"/>
        <v>0.011265542870741852</v>
      </c>
      <c r="P114" s="84">
        <f t="shared" si="52"/>
        <v>1</v>
      </c>
      <c r="Q114" s="1">
        <f t="shared" si="67"/>
        <v>1.467375</v>
      </c>
      <c r="R114" s="1">
        <f t="shared" si="68"/>
        <v>1240.450547751041</v>
      </c>
      <c r="S114" s="1">
        <f t="shared" si="69"/>
        <v>2.445625</v>
      </c>
      <c r="T114" s="60">
        <f t="shared" si="54"/>
        <v>2.93475</v>
      </c>
      <c r="U114" s="101">
        <f t="shared" si="70"/>
        <v>21459.581151832463</v>
      </c>
      <c r="V114" s="102">
        <f t="shared" si="55"/>
        <v>8199.20436963351</v>
      </c>
      <c r="W114" s="102">
        <f t="shared" si="71"/>
        <v>17022.6</v>
      </c>
      <c r="X114" s="102">
        <f t="shared" si="72"/>
        <v>-45466.96</v>
      </c>
      <c r="Y114" s="103">
        <f t="shared" si="56"/>
        <v>0</v>
      </c>
      <c r="AB114" s="76"/>
      <c r="AC114" s="76"/>
      <c r="AD114" s="76"/>
      <c r="AE114" s="77"/>
      <c r="AF114" s="78"/>
      <c r="AG114" s="24"/>
      <c r="AH114" s="53"/>
      <c r="AI114" s="53"/>
      <c r="AJ114" s="53"/>
      <c r="AK114" s="53"/>
      <c r="AL114" s="53"/>
      <c r="AM114" s="1"/>
      <c r="AN114" s="1"/>
    </row>
    <row r="115" spans="2:40" ht="12.75">
      <c r="B115" s="122">
        <f t="shared" si="48"/>
        <v>39225.02885757162</v>
      </c>
      <c r="C115">
        <v>3</v>
      </c>
      <c r="D115" s="2">
        <v>-0.003</v>
      </c>
      <c r="E115">
        <v>0.6</v>
      </c>
      <c r="F115">
        <f t="shared" si="63"/>
        <v>52.700000000000045</v>
      </c>
      <c r="G115" s="1">
        <f t="shared" si="49"/>
        <v>1125.8016000000005</v>
      </c>
      <c r="H115" s="1">
        <f t="shared" si="74"/>
        <v>0</v>
      </c>
      <c r="I115">
        <v>60</v>
      </c>
      <c r="J115" s="64">
        <f t="shared" si="64"/>
        <v>59.99999999999999</v>
      </c>
      <c r="K115" s="117">
        <f t="shared" si="60"/>
        <v>0.0004166666666666667</v>
      </c>
      <c r="L115" s="1">
        <f t="shared" si="65"/>
        <v>60210.769921465966</v>
      </c>
      <c r="M115" s="1">
        <f t="shared" si="61"/>
        <v>11729.370763921941</v>
      </c>
      <c r="N115" s="1">
        <f t="shared" si="73"/>
        <v>21000</v>
      </c>
      <c r="O115" s="74">
        <f t="shared" si="66"/>
        <v>0.5585414649486639</v>
      </c>
      <c r="P115" s="84">
        <f t="shared" si="52"/>
        <v>4</v>
      </c>
      <c r="Q115" s="1">
        <f t="shared" si="67"/>
        <v>5.8695</v>
      </c>
      <c r="R115" s="1">
        <f t="shared" si="68"/>
        <v>1246.320047751041</v>
      </c>
      <c r="S115" s="1">
        <f t="shared" si="69"/>
        <v>9.7825</v>
      </c>
      <c r="T115" s="60">
        <f t="shared" si="54"/>
        <v>11.739</v>
      </c>
      <c r="U115" s="101">
        <f t="shared" si="70"/>
        <v>21459.581151832463</v>
      </c>
      <c r="V115" s="102">
        <f t="shared" si="55"/>
        <v>8199.20436963351</v>
      </c>
      <c r="W115" s="102">
        <f t="shared" si="71"/>
        <v>17022.6</v>
      </c>
      <c r="X115" s="102">
        <f t="shared" si="72"/>
        <v>-34100.22</v>
      </c>
      <c r="Y115" s="103">
        <f t="shared" si="56"/>
        <v>47629.6044</v>
      </c>
      <c r="AB115" s="76"/>
      <c r="AC115" s="76"/>
      <c r="AD115" s="76"/>
      <c r="AE115" s="77"/>
      <c r="AF115" s="78"/>
      <c r="AG115" s="24"/>
      <c r="AH115" s="53"/>
      <c r="AI115" s="53"/>
      <c r="AJ115" s="53"/>
      <c r="AK115" s="53"/>
      <c r="AL115" s="53"/>
      <c r="AM115" s="1"/>
      <c r="AN115" s="1"/>
    </row>
    <row r="116" spans="2:40" ht="12.75">
      <c r="B116" s="122">
        <f t="shared" si="48"/>
        <v>39225.02927423829</v>
      </c>
      <c r="C116">
        <v>2</v>
      </c>
      <c r="D116" s="2">
        <v>-0.005</v>
      </c>
      <c r="E116">
        <v>0.6</v>
      </c>
      <c r="F116">
        <f t="shared" si="63"/>
        <v>53.30000000000005</v>
      </c>
      <c r="G116" s="1">
        <f t="shared" si="49"/>
        <v>1109.9616000000005</v>
      </c>
      <c r="H116" s="1">
        <f t="shared" si="74"/>
        <v>0</v>
      </c>
      <c r="I116">
        <v>60</v>
      </c>
      <c r="J116" s="64">
        <f t="shared" si="64"/>
        <v>59.99999999999999</v>
      </c>
      <c r="K116" s="117">
        <f t="shared" si="60"/>
        <v>0.0004166666666666667</v>
      </c>
      <c r="L116" s="1">
        <f t="shared" si="65"/>
        <v>69228.75512146598</v>
      </c>
      <c r="M116" s="1">
        <f t="shared" si="61"/>
        <v>13486.121127558306</v>
      </c>
      <c r="N116" s="1">
        <f t="shared" si="73"/>
        <v>21000</v>
      </c>
      <c r="O116" s="74">
        <f t="shared" si="66"/>
        <v>0.6421962441694432</v>
      </c>
      <c r="P116" s="84">
        <f t="shared" si="52"/>
        <v>5</v>
      </c>
      <c r="Q116" s="1">
        <f t="shared" si="67"/>
        <v>7.336875000000001</v>
      </c>
      <c r="R116" s="1">
        <f t="shared" si="68"/>
        <v>1253.656922751041</v>
      </c>
      <c r="S116" s="1">
        <f t="shared" si="69"/>
        <v>12.228125000000002</v>
      </c>
      <c r="T116" s="60">
        <f t="shared" si="54"/>
        <v>14.673750000000002</v>
      </c>
      <c r="U116" s="101">
        <f t="shared" si="70"/>
        <v>21459.581151832463</v>
      </c>
      <c r="V116" s="102">
        <f t="shared" si="55"/>
        <v>8199.20436963351</v>
      </c>
      <c r="W116" s="102">
        <f t="shared" si="71"/>
        <v>17022.6</v>
      </c>
      <c r="X116" s="102">
        <f t="shared" si="72"/>
        <v>-56833.7</v>
      </c>
      <c r="Y116" s="103">
        <f t="shared" si="56"/>
        <v>79381.0696</v>
      </c>
      <c r="AB116" s="76"/>
      <c r="AC116" s="76"/>
      <c r="AD116" s="76"/>
      <c r="AE116" s="77"/>
      <c r="AF116" s="78"/>
      <c r="AG116" s="24"/>
      <c r="AH116" s="53"/>
      <c r="AI116" s="53"/>
      <c r="AJ116" s="53"/>
      <c r="AK116" s="53"/>
      <c r="AL116" s="53"/>
      <c r="AM116" s="1"/>
      <c r="AN116" s="1"/>
    </row>
    <row r="117" spans="2:40" ht="12.75">
      <c r="B117" s="122">
        <f t="shared" si="48"/>
        <v>39225.02969090496</v>
      </c>
      <c r="C117">
        <v>0</v>
      </c>
      <c r="D117" s="2">
        <v>-0.005</v>
      </c>
      <c r="E117">
        <v>0.6</v>
      </c>
      <c r="F117">
        <f t="shared" si="63"/>
        <v>53.90000000000005</v>
      </c>
      <c r="G117" s="1">
        <f t="shared" si="49"/>
        <v>1094.1216000000006</v>
      </c>
      <c r="H117" s="1">
        <f t="shared" si="74"/>
        <v>0</v>
      </c>
      <c r="I117">
        <v>60</v>
      </c>
      <c r="J117" s="64">
        <f t="shared" si="64"/>
        <v>60</v>
      </c>
      <c r="K117" s="117">
        <f t="shared" si="60"/>
        <v>0.0004166666666666667</v>
      </c>
      <c r="L117" s="1">
        <f t="shared" si="65"/>
        <v>21599.685521465974</v>
      </c>
      <c r="M117" s="1">
        <f t="shared" si="61"/>
        <v>4207.730945740125</v>
      </c>
      <c r="N117" s="1">
        <f t="shared" si="73"/>
        <v>21000</v>
      </c>
      <c r="O117" s="74">
        <f t="shared" si="66"/>
        <v>0.2003681402733393</v>
      </c>
      <c r="P117" s="84">
        <f t="shared" si="52"/>
        <v>2</v>
      </c>
      <c r="Q117" s="1">
        <f t="shared" si="67"/>
        <v>2.93475</v>
      </c>
      <c r="R117" s="1">
        <f t="shared" si="68"/>
        <v>1256.591672751041</v>
      </c>
      <c r="S117" s="1">
        <f t="shared" si="69"/>
        <v>4.89125</v>
      </c>
      <c r="T117" s="60">
        <f t="shared" si="54"/>
        <v>5.8695</v>
      </c>
      <c r="U117" s="101">
        <f t="shared" si="70"/>
        <v>21459.581151832463</v>
      </c>
      <c r="V117" s="102">
        <f t="shared" si="55"/>
        <v>8199.20436963351</v>
      </c>
      <c r="W117" s="102">
        <f t="shared" si="71"/>
        <v>17022.6</v>
      </c>
      <c r="X117" s="102">
        <f t="shared" si="72"/>
        <v>-56833.7</v>
      </c>
      <c r="Y117" s="103">
        <f t="shared" si="56"/>
        <v>31752</v>
      </c>
      <c r="AB117" s="76"/>
      <c r="AC117" s="76"/>
      <c r="AD117" s="76"/>
      <c r="AE117" s="77"/>
      <c r="AF117" s="78"/>
      <c r="AG117" s="24"/>
      <c r="AH117" s="53"/>
      <c r="AI117" s="53"/>
      <c r="AJ117" s="53"/>
      <c r="AK117" s="53"/>
      <c r="AL117" s="53"/>
      <c r="AM117" s="1"/>
      <c r="AN117" s="1"/>
    </row>
    <row r="118" spans="2:40" ht="12.75">
      <c r="B118" s="122">
        <f t="shared" si="48"/>
        <v>39225.03010757163</v>
      </c>
      <c r="C118">
        <v>0</v>
      </c>
      <c r="D118" s="2">
        <v>-0.005</v>
      </c>
      <c r="E118">
        <v>0.6</v>
      </c>
      <c r="F118">
        <f t="shared" si="63"/>
        <v>54.50000000000005</v>
      </c>
      <c r="G118" s="1">
        <f t="shared" si="49"/>
        <v>1078.2816000000007</v>
      </c>
      <c r="H118" s="1">
        <f t="shared" si="74"/>
        <v>0</v>
      </c>
      <c r="I118">
        <v>60</v>
      </c>
      <c r="J118" s="64">
        <f t="shared" si="64"/>
        <v>59.99999999999999</v>
      </c>
      <c r="K118" s="117">
        <f t="shared" si="60"/>
        <v>0.0004166666666666667</v>
      </c>
      <c r="L118" s="1">
        <f t="shared" si="65"/>
        <v>-10152.314478534026</v>
      </c>
      <c r="M118" s="1">
        <f t="shared" si="61"/>
        <v>-1977.7235997144205</v>
      </c>
      <c r="N118" s="1">
        <f t="shared" si="73"/>
        <v>21000</v>
      </c>
      <c r="O118" s="74">
        <f t="shared" si="66"/>
        <v>-0.09417731427211526</v>
      </c>
      <c r="P118" s="84">
        <f t="shared" si="52"/>
        <v>1</v>
      </c>
      <c r="Q118" s="1">
        <f t="shared" si="67"/>
        <v>1.467375</v>
      </c>
      <c r="R118" s="1">
        <f t="shared" si="68"/>
        <v>1258.059047751041</v>
      </c>
      <c r="S118" s="1">
        <f t="shared" si="69"/>
        <v>2.445625</v>
      </c>
      <c r="T118" s="60">
        <f t="shared" si="54"/>
        <v>2.93475</v>
      </c>
      <c r="U118" s="101">
        <f t="shared" si="70"/>
        <v>21459.581151832463</v>
      </c>
      <c r="V118" s="102">
        <f t="shared" si="55"/>
        <v>8199.20436963351</v>
      </c>
      <c r="W118" s="102">
        <f t="shared" si="71"/>
        <v>17022.6</v>
      </c>
      <c r="X118" s="102">
        <f t="shared" si="72"/>
        <v>-56833.7</v>
      </c>
      <c r="Y118" s="103">
        <f t="shared" si="56"/>
        <v>0</v>
      </c>
      <c r="AB118" s="76"/>
      <c r="AC118" s="76"/>
      <c r="AD118" s="76"/>
      <c r="AE118" s="77"/>
      <c r="AF118" s="78"/>
      <c r="AG118" s="24"/>
      <c r="AH118" s="53"/>
      <c r="AI118" s="53"/>
      <c r="AJ118" s="53"/>
      <c r="AK118" s="53"/>
      <c r="AL118" s="53"/>
      <c r="AM118" s="1"/>
      <c r="AN118" s="1"/>
    </row>
    <row r="119" spans="2:40" ht="12.75">
      <c r="B119" s="122">
        <f t="shared" si="48"/>
        <v>39225.0305242383</v>
      </c>
      <c r="C119">
        <v>0</v>
      </c>
      <c r="D119" s="2">
        <v>-0.006</v>
      </c>
      <c r="E119">
        <v>0.6</v>
      </c>
      <c r="F119">
        <f t="shared" si="63"/>
        <v>55.10000000000005</v>
      </c>
      <c r="G119" s="1">
        <f t="shared" si="49"/>
        <v>1059.2736000000007</v>
      </c>
      <c r="H119" s="1">
        <f t="shared" si="74"/>
        <v>0</v>
      </c>
      <c r="I119">
        <v>60</v>
      </c>
      <c r="J119" s="64">
        <f t="shared" si="64"/>
        <v>60</v>
      </c>
      <c r="K119" s="117">
        <f t="shared" si="60"/>
        <v>0.0004166666666666667</v>
      </c>
      <c r="L119" s="1">
        <f t="shared" si="65"/>
        <v>-21519.05447853403</v>
      </c>
      <c r="M119" s="1">
        <f t="shared" si="61"/>
        <v>-4192.023599714422</v>
      </c>
      <c r="N119" s="1">
        <f t="shared" si="73"/>
        <v>21000</v>
      </c>
      <c r="O119" s="74">
        <f t="shared" si="66"/>
        <v>-0.19962017141497246</v>
      </c>
      <c r="P119" s="84">
        <f t="shared" si="52"/>
        <v>1</v>
      </c>
      <c r="Q119" s="1">
        <f t="shared" si="67"/>
        <v>1.467375</v>
      </c>
      <c r="R119" s="1">
        <f t="shared" si="68"/>
        <v>1259.5264227510409</v>
      </c>
      <c r="S119" s="1">
        <f t="shared" si="69"/>
        <v>2.445625</v>
      </c>
      <c r="T119" s="60">
        <f t="shared" si="54"/>
        <v>2.93475</v>
      </c>
      <c r="U119" s="101">
        <f t="shared" si="70"/>
        <v>21459.581151832463</v>
      </c>
      <c r="V119" s="102">
        <f t="shared" si="55"/>
        <v>8199.20436963351</v>
      </c>
      <c r="W119" s="102">
        <f t="shared" si="71"/>
        <v>17022.6</v>
      </c>
      <c r="X119" s="102">
        <f t="shared" si="72"/>
        <v>-68200.44</v>
      </c>
      <c r="Y119" s="103">
        <f t="shared" si="56"/>
        <v>0</v>
      </c>
      <c r="AB119" s="76"/>
      <c r="AC119" s="76"/>
      <c r="AD119" s="76"/>
      <c r="AE119" s="77"/>
      <c r="AF119" s="78"/>
      <c r="AG119" s="24"/>
      <c r="AH119" s="53"/>
      <c r="AI119" s="53"/>
      <c r="AJ119" s="53"/>
      <c r="AK119" s="53"/>
      <c r="AL119" s="53"/>
      <c r="AM119" s="1"/>
      <c r="AN119" s="1"/>
    </row>
    <row r="120" spans="2:40" ht="12.75">
      <c r="B120" s="122">
        <f t="shared" si="48"/>
        <v>39225.030940904966</v>
      </c>
      <c r="C120">
        <v>1</v>
      </c>
      <c r="D120" s="2">
        <v>-0.005</v>
      </c>
      <c r="E120">
        <v>0.6</v>
      </c>
      <c r="F120">
        <f t="shared" si="63"/>
        <v>55.70000000000005</v>
      </c>
      <c r="G120" s="1">
        <f t="shared" si="49"/>
        <v>1043.4336000000008</v>
      </c>
      <c r="H120" s="1">
        <f t="shared" si="74"/>
        <v>0</v>
      </c>
      <c r="I120">
        <v>60</v>
      </c>
      <c r="J120" s="64">
        <f t="shared" si="64"/>
        <v>60</v>
      </c>
      <c r="K120" s="117">
        <f t="shared" si="60"/>
        <v>0.0004166666666666667</v>
      </c>
      <c r="L120" s="1">
        <f t="shared" si="65"/>
        <v>5724.220321465973</v>
      </c>
      <c r="M120" s="1">
        <f t="shared" si="61"/>
        <v>1115.1078548310338</v>
      </c>
      <c r="N120" s="1">
        <f t="shared" si="73"/>
        <v>21000</v>
      </c>
      <c r="O120" s="74">
        <f t="shared" si="66"/>
        <v>0.05310037403957304</v>
      </c>
      <c r="P120" s="84">
        <f t="shared" si="52"/>
        <v>1</v>
      </c>
      <c r="Q120" s="1">
        <f t="shared" si="67"/>
        <v>1.467375</v>
      </c>
      <c r="R120" s="1">
        <f t="shared" si="68"/>
        <v>1260.9937977510408</v>
      </c>
      <c r="S120" s="1">
        <f t="shared" si="69"/>
        <v>2.445625</v>
      </c>
      <c r="T120" s="60">
        <f t="shared" si="54"/>
        <v>2.93475</v>
      </c>
      <c r="U120" s="101">
        <f t="shared" si="70"/>
        <v>21459.581151832463</v>
      </c>
      <c r="V120" s="102">
        <f t="shared" si="55"/>
        <v>8199.20436963351</v>
      </c>
      <c r="W120" s="102">
        <f t="shared" si="71"/>
        <v>17022.6</v>
      </c>
      <c r="X120" s="102">
        <f t="shared" si="72"/>
        <v>-56833.7</v>
      </c>
      <c r="Y120" s="103">
        <f t="shared" si="56"/>
        <v>15876.5348</v>
      </c>
      <c r="AB120" s="76"/>
      <c r="AC120" s="76"/>
      <c r="AD120" s="76"/>
      <c r="AE120" s="77"/>
      <c r="AF120" s="78"/>
      <c r="AG120" s="24"/>
      <c r="AH120" s="53"/>
      <c r="AI120" s="53"/>
      <c r="AJ120" s="53"/>
      <c r="AK120" s="53"/>
      <c r="AL120" s="53"/>
      <c r="AM120" s="1"/>
      <c r="AN120" s="1"/>
    </row>
    <row r="121" spans="2:40" ht="12.75">
      <c r="B121" s="122">
        <f t="shared" si="48"/>
        <v>39225.031357571635</v>
      </c>
      <c r="C121">
        <v>0</v>
      </c>
      <c r="D121" s="2">
        <v>-0.005</v>
      </c>
      <c r="E121">
        <v>0.6</v>
      </c>
      <c r="F121">
        <f t="shared" si="63"/>
        <v>56.300000000000054</v>
      </c>
      <c r="G121" s="1">
        <f t="shared" si="49"/>
        <v>1027.5936000000008</v>
      </c>
      <c r="H121" s="1">
        <f t="shared" si="74"/>
        <v>0</v>
      </c>
      <c r="I121">
        <v>60</v>
      </c>
      <c r="J121" s="64">
        <f t="shared" si="64"/>
        <v>60</v>
      </c>
      <c r="K121" s="117">
        <f t="shared" si="60"/>
        <v>0.0004166666666666667</v>
      </c>
      <c r="L121" s="1">
        <f t="shared" si="65"/>
        <v>5723.685521465974</v>
      </c>
      <c r="M121" s="1">
        <f t="shared" si="61"/>
        <v>1115.003673012852</v>
      </c>
      <c r="N121" s="1">
        <f t="shared" si="73"/>
        <v>21000</v>
      </c>
      <c r="O121" s="74">
        <f t="shared" si="66"/>
        <v>0.053095413000612</v>
      </c>
      <c r="P121" s="84">
        <f t="shared" si="52"/>
        <v>1</v>
      </c>
      <c r="Q121" s="1">
        <f t="shared" si="67"/>
        <v>1.467375</v>
      </c>
      <c r="R121" s="1">
        <f t="shared" si="68"/>
        <v>1262.4611727510407</v>
      </c>
      <c r="S121" s="1">
        <f t="shared" si="69"/>
        <v>2.445625</v>
      </c>
      <c r="T121" s="60">
        <f t="shared" si="54"/>
        <v>2.93475</v>
      </c>
      <c r="U121" s="101">
        <f t="shared" si="70"/>
        <v>21459.581151832463</v>
      </c>
      <c r="V121" s="102">
        <f t="shared" si="55"/>
        <v>8199.20436963351</v>
      </c>
      <c r="W121" s="102">
        <f t="shared" si="71"/>
        <v>17022.6</v>
      </c>
      <c r="X121" s="102">
        <f t="shared" si="72"/>
        <v>-56833.7</v>
      </c>
      <c r="Y121" s="103">
        <f t="shared" si="56"/>
        <v>15876</v>
      </c>
      <c r="AB121" s="76"/>
      <c r="AC121" s="76"/>
      <c r="AD121" s="76"/>
      <c r="AE121" s="77"/>
      <c r="AF121" s="78"/>
      <c r="AG121" s="24"/>
      <c r="AH121" s="53"/>
      <c r="AI121" s="53"/>
      <c r="AJ121" s="53"/>
      <c r="AK121" s="53"/>
      <c r="AL121" s="53"/>
      <c r="AM121" s="1"/>
      <c r="AN121" s="1"/>
    </row>
    <row r="122" spans="2:40" ht="12.75">
      <c r="B122" s="122">
        <f t="shared" si="48"/>
        <v>39225.031774238305</v>
      </c>
      <c r="C122">
        <v>0</v>
      </c>
      <c r="D122" s="2">
        <v>-0.005</v>
      </c>
      <c r="E122">
        <v>0.6</v>
      </c>
      <c r="F122">
        <f t="shared" si="63"/>
        <v>56.900000000000055</v>
      </c>
      <c r="G122" s="1">
        <f t="shared" si="49"/>
        <v>1011.7536000000008</v>
      </c>
      <c r="H122" s="1">
        <f t="shared" si="74"/>
        <v>0</v>
      </c>
      <c r="I122">
        <v>60</v>
      </c>
      <c r="J122" s="64">
        <f t="shared" si="64"/>
        <v>59.99999999999999</v>
      </c>
      <c r="K122" s="117">
        <f t="shared" si="60"/>
        <v>0.0004166666666666667</v>
      </c>
      <c r="L122" s="1">
        <f t="shared" si="65"/>
        <v>-10152.314478534026</v>
      </c>
      <c r="M122" s="1">
        <f t="shared" si="61"/>
        <v>-1977.7235997144205</v>
      </c>
      <c r="N122" s="1">
        <f t="shared" si="73"/>
        <v>21000</v>
      </c>
      <c r="O122" s="74">
        <f t="shared" si="66"/>
        <v>-0.09417731427211526</v>
      </c>
      <c r="P122" s="84">
        <f>ROUNDUP(IF(M122/N122*9&gt;=8,8,IF(M122/N122*10&gt;0,(M122-M122*0.3)/N122*10,1)),0)</f>
        <v>1</v>
      </c>
      <c r="Q122" s="1">
        <f t="shared" si="67"/>
        <v>1.467375</v>
      </c>
      <c r="R122" s="1">
        <f t="shared" si="68"/>
        <v>1263.9285477510407</v>
      </c>
      <c r="S122" s="1">
        <f t="shared" si="69"/>
        <v>2.445625</v>
      </c>
      <c r="T122" s="60">
        <f t="shared" si="54"/>
        <v>2.93475</v>
      </c>
      <c r="U122" s="101">
        <f t="shared" si="70"/>
        <v>21459.581151832463</v>
      </c>
      <c r="V122" s="102">
        <f t="shared" si="55"/>
        <v>8199.20436963351</v>
      </c>
      <c r="W122" s="102">
        <f t="shared" si="71"/>
        <v>17022.6</v>
      </c>
      <c r="X122" s="102">
        <f t="shared" si="72"/>
        <v>-56833.7</v>
      </c>
      <c r="Y122" s="103">
        <f t="shared" si="56"/>
        <v>0</v>
      </c>
      <c r="AB122" s="76"/>
      <c r="AC122" s="76"/>
      <c r="AD122" s="76"/>
      <c r="AE122" s="77"/>
      <c r="AF122" s="78"/>
      <c r="AG122" s="24"/>
      <c r="AH122" s="53"/>
      <c r="AI122" s="53"/>
      <c r="AJ122" s="53"/>
      <c r="AK122" s="53"/>
      <c r="AL122" s="53"/>
      <c r="AM122" s="1"/>
      <c r="AN122" s="1"/>
    </row>
    <row r="123" spans="2:40" ht="12.75">
      <c r="B123" s="122">
        <f t="shared" si="48"/>
        <v>39225.032190904974</v>
      </c>
      <c r="C123">
        <v>2</v>
      </c>
      <c r="D123" s="2">
        <v>-0.004</v>
      </c>
      <c r="E123">
        <v>0.6</v>
      </c>
      <c r="F123">
        <f t="shared" si="63"/>
        <v>57.50000000000006</v>
      </c>
      <c r="G123" s="1">
        <f t="shared" si="49"/>
        <v>999.0816000000008</v>
      </c>
      <c r="H123" s="1">
        <f t="shared" si="74"/>
        <v>0</v>
      </c>
      <c r="I123">
        <v>60</v>
      </c>
      <c r="J123" s="64">
        <f t="shared" si="64"/>
        <v>59.99999999999999</v>
      </c>
      <c r="K123" s="117">
        <f t="shared" si="60"/>
        <v>0.0004166666666666667</v>
      </c>
      <c r="L123" s="1">
        <f t="shared" si="65"/>
        <v>32967.49512146597</v>
      </c>
      <c r="M123" s="1">
        <f t="shared" si="61"/>
        <v>6422.239309376487</v>
      </c>
      <c r="N123" s="1">
        <f t="shared" si="73"/>
        <v>21000</v>
      </c>
      <c r="O123" s="74">
        <f t="shared" si="66"/>
        <v>0.30582091949411844</v>
      </c>
      <c r="P123" s="84">
        <f aca="true" t="shared" si="75" ref="P123:P186">ROUNDUP(IF(M123/N123*9&gt;=8,8,IF(M123/N123*10&gt;0,(M123-M123*0.3)/N123*10,1)),0)</f>
        <v>3</v>
      </c>
      <c r="Q123" s="1">
        <f t="shared" si="67"/>
        <v>4.402125</v>
      </c>
      <c r="R123" s="1">
        <f t="shared" si="68"/>
        <v>1268.3306727510408</v>
      </c>
      <c r="S123" s="1">
        <f t="shared" si="69"/>
        <v>7.336875</v>
      </c>
      <c r="T123" s="60">
        <f t="shared" si="54"/>
        <v>8.80425</v>
      </c>
      <c r="U123" s="101">
        <f t="shared" si="70"/>
        <v>21459.581151832463</v>
      </c>
      <c r="V123" s="102">
        <f t="shared" si="55"/>
        <v>8199.20436963351</v>
      </c>
      <c r="W123" s="102">
        <f t="shared" si="71"/>
        <v>17022.6</v>
      </c>
      <c r="X123" s="102">
        <f t="shared" si="72"/>
        <v>-45466.96</v>
      </c>
      <c r="Y123" s="103">
        <f t="shared" si="56"/>
        <v>31753.0696</v>
      </c>
      <c r="AB123" s="76"/>
      <c r="AC123" s="76"/>
      <c r="AD123" s="76"/>
      <c r="AE123" s="77"/>
      <c r="AF123" s="78"/>
      <c r="AG123" s="24"/>
      <c r="AH123" s="53"/>
      <c r="AI123" s="53"/>
      <c r="AJ123" s="53"/>
      <c r="AK123" s="53"/>
      <c r="AL123" s="53"/>
      <c r="AM123" s="1"/>
      <c r="AN123" s="1"/>
    </row>
    <row r="124" spans="2:40" ht="12.75">
      <c r="B124" s="122">
        <f t="shared" si="48"/>
        <v>39225.032607571644</v>
      </c>
      <c r="C124">
        <v>2</v>
      </c>
      <c r="D124" s="2">
        <v>-0.004</v>
      </c>
      <c r="E124">
        <v>0.6</v>
      </c>
      <c r="F124">
        <f t="shared" si="63"/>
        <v>58.10000000000006</v>
      </c>
      <c r="G124" s="1">
        <f t="shared" si="49"/>
        <v>986.4096000000008</v>
      </c>
      <c r="H124" s="1">
        <f>IF(G124-G123&gt;0,G124-G123,0)</f>
        <v>0</v>
      </c>
      <c r="I124">
        <v>60</v>
      </c>
      <c r="J124" s="64">
        <f t="shared" si="64"/>
        <v>59.99999999999999</v>
      </c>
      <c r="K124" s="117">
        <f t="shared" si="60"/>
        <v>0.0004166666666666667</v>
      </c>
      <c r="L124" s="1">
        <f t="shared" si="65"/>
        <v>64719.495121465974</v>
      </c>
      <c r="M124" s="1">
        <f t="shared" si="61"/>
        <v>12607.693854831034</v>
      </c>
      <c r="N124" s="1">
        <f t="shared" si="73"/>
        <v>21000</v>
      </c>
      <c r="O124" s="74">
        <f t="shared" si="66"/>
        <v>0.600366374039573</v>
      </c>
      <c r="P124" s="84">
        <f t="shared" si="75"/>
        <v>5</v>
      </c>
      <c r="Q124" s="1">
        <f t="shared" si="67"/>
        <v>7.336875000000001</v>
      </c>
      <c r="R124" s="1">
        <f t="shared" si="68"/>
        <v>1275.6675477510407</v>
      </c>
      <c r="S124" s="1">
        <f t="shared" si="69"/>
        <v>12.228125000000002</v>
      </c>
      <c r="T124" s="60">
        <f t="shared" si="54"/>
        <v>14.673750000000002</v>
      </c>
      <c r="U124" s="101">
        <f t="shared" si="70"/>
        <v>21459.581151832463</v>
      </c>
      <c r="V124" s="102">
        <f t="shared" si="55"/>
        <v>8199.20436963351</v>
      </c>
      <c r="W124" s="102">
        <f t="shared" si="71"/>
        <v>17022.6</v>
      </c>
      <c r="X124" s="102">
        <f t="shared" si="72"/>
        <v>-45466.96</v>
      </c>
      <c r="Y124" s="103">
        <f t="shared" si="56"/>
        <v>63505.0696</v>
      </c>
      <c r="AB124" s="76"/>
      <c r="AC124" s="76"/>
      <c r="AD124" s="76"/>
      <c r="AE124" s="77"/>
      <c r="AF124" s="78"/>
      <c r="AG124" s="24"/>
      <c r="AH124" s="53"/>
      <c r="AI124" s="53"/>
      <c r="AJ124" s="53"/>
      <c r="AK124" s="53"/>
      <c r="AL124" s="53"/>
      <c r="AM124" s="1"/>
      <c r="AN124" s="1"/>
    </row>
    <row r="125" spans="2:40" ht="12.75">
      <c r="B125" s="122">
        <f t="shared" si="48"/>
        <v>39225.03302423831</v>
      </c>
      <c r="C125">
        <v>0</v>
      </c>
      <c r="D125" s="2">
        <v>-0.004</v>
      </c>
      <c r="E125">
        <v>0.6</v>
      </c>
      <c r="F125">
        <f t="shared" si="63"/>
        <v>58.70000000000006</v>
      </c>
      <c r="G125" s="1">
        <f t="shared" si="49"/>
        <v>973.7376000000007</v>
      </c>
      <c r="H125" s="1">
        <f aca="true" t="shared" si="76" ref="H125:H140">IF(G125-G124&gt;0,G125-G124,0)</f>
        <v>0</v>
      </c>
      <c r="I125">
        <v>60</v>
      </c>
      <c r="J125" s="64">
        <f t="shared" si="64"/>
        <v>60</v>
      </c>
      <c r="K125" s="117">
        <f t="shared" si="60"/>
        <v>0.0004166666666666667</v>
      </c>
      <c r="L125" s="1">
        <f t="shared" si="65"/>
        <v>32966.42552146597</v>
      </c>
      <c r="M125" s="1">
        <f t="shared" si="61"/>
        <v>6422.0309457401245</v>
      </c>
      <c r="N125" s="1">
        <f t="shared" si="73"/>
        <v>21000</v>
      </c>
      <c r="O125" s="74">
        <f t="shared" si="66"/>
        <v>0.3058109974161964</v>
      </c>
      <c r="P125" s="84">
        <f t="shared" si="75"/>
        <v>3</v>
      </c>
      <c r="Q125" s="1">
        <f t="shared" si="67"/>
        <v>4.402125</v>
      </c>
      <c r="R125" s="1">
        <f t="shared" si="68"/>
        <v>1280.0696727510408</v>
      </c>
      <c r="S125" s="1">
        <f t="shared" si="69"/>
        <v>7.336875</v>
      </c>
      <c r="T125" s="60">
        <f t="shared" si="54"/>
        <v>8.80425</v>
      </c>
      <c r="U125" s="101">
        <f t="shared" si="70"/>
        <v>21459.581151832463</v>
      </c>
      <c r="V125" s="102">
        <f t="shared" si="55"/>
        <v>8199.20436963351</v>
      </c>
      <c r="W125" s="102">
        <f t="shared" si="71"/>
        <v>17022.6</v>
      </c>
      <c r="X125" s="102">
        <f t="shared" si="72"/>
        <v>-45466.96</v>
      </c>
      <c r="Y125" s="103">
        <f t="shared" si="56"/>
        <v>31752</v>
      </c>
      <c r="AB125" s="76"/>
      <c r="AC125" s="76"/>
      <c r="AD125" s="76"/>
      <c r="AE125" s="77"/>
      <c r="AF125" s="78"/>
      <c r="AG125" s="24"/>
      <c r="AH125" s="53"/>
      <c r="AI125" s="53"/>
      <c r="AJ125" s="53"/>
      <c r="AK125" s="53"/>
      <c r="AL125" s="53"/>
      <c r="AM125" s="1"/>
      <c r="AN125" s="1"/>
    </row>
    <row r="126" spans="2:40" ht="12.75">
      <c r="B126" s="122">
        <f t="shared" si="48"/>
        <v>39225.03344090498</v>
      </c>
      <c r="C126">
        <v>0</v>
      </c>
      <c r="D126" s="2">
        <v>0</v>
      </c>
      <c r="E126">
        <v>0.6</v>
      </c>
      <c r="F126">
        <f t="shared" si="63"/>
        <v>59.30000000000006</v>
      </c>
      <c r="G126" s="1">
        <f t="shared" si="49"/>
        <v>973.7376000000007</v>
      </c>
      <c r="H126" s="1">
        <f t="shared" si="76"/>
        <v>0</v>
      </c>
      <c r="I126">
        <v>60</v>
      </c>
      <c r="J126" s="64">
        <f t="shared" si="64"/>
        <v>60.000000000000014</v>
      </c>
      <c r="K126" s="117">
        <f t="shared" si="60"/>
        <v>0.00041666666666666653</v>
      </c>
      <c r="L126" s="1">
        <f t="shared" si="65"/>
        <v>46681.38552146597</v>
      </c>
      <c r="M126" s="1">
        <f t="shared" si="61"/>
        <v>9093.77640028558</v>
      </c>
      <c r="N126" s="1">
        <f t="shared" si="73"/>
        <v>21000</v>
      </c>
      <c r="O126" s="74">
        <f t="shared" si="66"/>
        <v>0.43303697144217046</v>
      </c>
      <c r="P126" s="84">
        <f t="shared" si="75"/>
        <v>4</v>
      </c>
      <c r="Q126" s="1">
        <f t="shared" si="67"/>
        <v>5.869499999999999</v>
      </c>
      <c r="R126" s="1">
        <f t="shared" si="68"/>
        <v>1285.9391727510408</v>
      </c>
      <c r="S126" s="1">
        <f t="shared" si="69"/>
        <v>9.782499999999999</v>
      </c>
      <c r="T126" s="60">
        <f t="shared" si="54"/>
        <v>11.738999999999997</v>
      </c>
      <c r="U126" s="101">
        <f t="shared" si="70"/>
        <v>21459.581151832463</v>
      </c>
      <c r="V126" s="102">
        <f t="shared" si="55"/>
        <v>8199.20436963351</v>
      </c>
      <c r="W126" s="102">
        <f t="shared" si="71"/>
        <v>17022.6</v>
      </c>
      <c r="X126" s="102">
        <f t="shared" si="72"/>
        <v>0</v>
      </c>
      <c r="Y126" s="103">
        <f t="shared" si="56"/>
        <v>0</v>
      </c>
      <c r="AB126" s="76"/>
      <c r="AC126" s="76"/>
      <c r="AD126" s="76"/>
      <c r="AE126" s="77"/>
      <c r="AF126" s="78"/>
      <c r="AG126" s="24"/>
      <c r="AH126" s="53"/>
      <c r="AI126" s="53"/>
      <c r="AJ126" s="53"/>
      <c r="AK126" s="53"/>
      <c r="AL126" s="53"/>
      <c r="AM126" s="1"/>
      <c r="AN126" s="1"/>
    </row>
    <row r="127" spans="2:40" ht="12.75">
      <c r="B127" s="122">
        <f t="shared" si="48"/>
        <v>39225.03385757165</v>
      </c>
      <c r="C127">
        <v>0</v>
      </c>
      <c r="D127" s="2">
        <v>0</v>
      </c>
      <c r="E127">
        <v>0.6</v>
      </c>
      <c r="F127">
        <f aca="true" t="shared" si="77" ref="F127:F152">E127+F126</f>
        <v>59.90000000000006</v>
      </c>
      <c r="G127" s="1">
        <f t="shared" si="49"/>
        <v>973.7376000000007</v>
      </c>
      <c r="H127" s="1">
        <f t="shared" si="76"/>
        <v>0</v>
      </c>
      <c r="I127">
        <v>60</v>
      </c>
      <c r="J127" s="64">
        <f aca="true" t="shared" si="78" ref="J127:J152">IF(M127&lt;=N127,M127/L127*308,N127/L127*308)</f>
        <v>60.000000000000014</v>
      </c>
      <c r="K127" s="117">
        <f t="shared" si="60"/>
        <v>0.00041666666666666653</v>
      </c>
      <c r="L127" s="1">
        <f t="shared" si="65"/>
        <v>46681.38552146597</v>
      </c>
      <c r="M127" s="1">
        <f t="shared" si="61"/>
        <v>9093.77640028558</v>
      </c>
      <c r="N127" s="1">
        <f t="shared" si="73"/>
        <v>21000</v>
      </c>
      <c r="O127" s="74">
        <f t="shared" si="66"/>
        <v>0.43303697144217046</v>
      </c>
      <c r="P127" s="84">
        <f t="shared" si="75"/>
        <v>4</v>
      </c>
      <c r="Q127" s="1">
        <f t="shared" si="67"/>
        <v>5.869499999999999</v>
      </c>
      <c r="R127" s="1">
        <f t="shared" si="68"/>
        <v>1291.8086727510408</v>
      </c>
      <c r="S127" s="1">
        <f t="shared" si="69"/>
        <v>9.782499999999999</v>
      </c>
      <c r="T127" s="60">
        <f t="shared" si="54"/>
        <v>11.738999999999997</v>
      </c>
      <c r="U127" s="101">
        <f t="shared" si="70"/>
        <v>21459.581151832463</v>
      </c>
      <c r="V127" s="102">
        <f t="shared" si="55"/>
        <v>8199.20436963351</v>
      </c>
      <c r="W127" s="102">
        <f t="shared" si="71"/>
        <v>17022.6</v>
      </c>
      <c r="X127" s="102">
        <f t="shared" si="72"/>
        <v>0</v>
      </c>
      <c r="Y127" s="103">
        <f t="shared" si="56"/>
        <v>0</v>
      </c>
      <c r="AB127" s="76"/>
      <c r="AC127" s="76"/>
      <c r="AD127" s="76"/>
      <c r="AE127" s="77"/>
      <c r="AF127" s="78"/>
      <c r="AG127" s="24"/>
      <c r="AH127" s="53"/>
      <c r="AI127" s="53"/>
      <c r="AJ127" s="53"/>
      <c r="AK127" s="53"/>
      <c r="AL127" s="53"/>
      <c r="AM127" s="1"/>
      <c r="AN127" s="1"/>
    </row>
    <row r="128" spans="2:40" ht="12.75">
      <c r="B128" s="122">
        <f t="shared" si="48"/>
        <v>39225.03427423832</v>
      </c>
      <c r="C128">
        <v>2</v>
      </c>
      <c r="D128" s="2">
        <v>0</v>
      </c>
      <c r="E128">
        <v>0.6</v>
      </c>
      <c r="F128">
        <f t="shared" si="77"/>
        <v>60.500000000000064</v>
      </c>
      <c r="G128" s="1">
        <f t="shared" si="49"/>
        <v>973.7376000000007</v>
      </c>
      <c r="H128" s="1">
        <f t="shared" si="76"/>
        <v>0</v>
      </c>
      <c r="I128">
        <v>60</v>
      </c>
      <c r="J128" s="64">
        <f t="shared" si="78"/>
        <v>60</v>
      </c>
      <c r="K128" s="117">
        <f t="shared" si="60"/>
        <v>0.0004166666666666667</v>
      </c>
      <c r="L128" s="1">
        <f t="shared" si="65"/>
        <v>78434.45512146597</v>
      </c>
      <c r="M128" s="1">
        <f t="shared" si="61"/>
        <v>15279.439309376488</v>
      </c>
      <c r="N128" s="1">
        <f t="shared" si="73"/>
        <v>21000</v>
      </c>
      <c r="O128" s="74">
        <f t="shared" si="66"/>
        <v>0.7275923480655471</v>
      </c>
      <c r="P128" s="84">
        <f t="shared" si="75"/>
        <v>6</v>
      </c>
      <c r="Q128" s="1">
        <f t="shared" si="67"/>
        <v>8.80425</v>
      </c>
      <c r="R128" s="1">
        <f t="shared" si="68"/>
        <v>1300.6129227510407</v>
      </c>
      <c r="S128" s="1">
        <f t="shared" si="69"/>
        <v>14.67375</v>
      </c>
      <c r="T128" s="60">
        <f t="shared" si="54"/>
        <v>17.6085</v>
      </c>
      <c r="U128" s="101">
        <f t="shared" si="70"/>
        <v>21459.581151832463</v>
      </c>
      <c r="V128" s="102">
        <f t="shared" si="55"/>
        <v>8199.20436963351</v>
      </c>
      <c r="W128" s="102">
        <f t="shared" si="71"/>
        <v>17022.6</v>
      </c>
      <c r="X128" s="102">
        <f t="shared" si="72"/>
        <v>0</v>
      </c>
      <c r="Y128" s="103">
        <f t="shared" si="56"/>
        <v>31753.0696</v>
      </c>
      <c r="AB128" s="76"/>
      <c r="AC128" s="76"/>
      <c r="AD128" s="76"/>
      <c r="AE128" s="77"/>
      <c r="AF128" s="78"/>
      <c r="AG128" s="24"/>
      <c r="AH128" s="53"/>
      <c r="AI128" s="53"/>
      <c r="AJ128" s="53"/>
      <c r="AK128" s="53"/>
      <c r="AL128" s="53"/>
      <c r="AM128" s="1"/>
      <c r="AN128" s="1"/>
    </row>
    <row r="129" spans="2:40" ht="12.75">
      <c r="B129" s="122">
        <f t="shared" si="48"/>
        <v>39225.034774238324</v>
      </c>
      <c r="C129">
        <v>2</v>
      </c>
      <c r="D129" s="2">
        <v>0</v>
      </c>
      <c r="E129">
        <v>0.6</v>
      </c>
      <c r="F129">
        <f t="shared" si="77"/>
        <v>61.100000000000065</v>
      </c>
      <c r="G129" s="1">
        <f t="shared" si="49"/>
        <v>973.7376000000007</v>
      </c>
      <c r="H129" s="1">
        <f t="shared" si="76"/>
        <v>0</v>
      </c>
      <c r="I129">
        <v>50</v>
      </c>
      <c r="J129" s="64">
        <f t="shared" si="78"/>
        <v>50</v>
      </c>
      <c r="K129" s="117">
        <f t="shared" si="60"/>
        <v>0.0005</v>
      </c>
      <c r="L129" s="1">
        <f t="shared" si="65"/>
        <v>100792.26088062828</v>
      </c>
      <c r="M129" s="1">
        <f t="shared" si="61"/>
        <v>16362.380013089007</v>
      </c>
      <c r="N129" s="1">
        <f t="shared" si="73"/>
        <v>21000</v>
      </c>
      <c r="O129" s="74">
        <f t="shared" si="66"/>
        <v>0.7791609530042384</v>
      </c>
      <c r="P129" s="84">
        <f t="shared" si="75"/>
        <v>6</v>
      </c>
      <c r="Q129" s="1">
        <f t="shared" si="67"/>
        <v>10.5651</v>
      </c>
      <c r="R129" s="1">
        <f t="shared" si="68"/>
        <v>1311.1780227510408</v>
      </c>
      <c r="S129" s="1">
        <f t="shared" si="69"/>
        <v>17.6085</v>
      </c>
      <c r="T129" s="60">
        <f t="shared" si="54"/>
        <v>21.1302</v>
      </c>
      <c r="U129" s="101">
        <f t="shared" si="70"/>
        <v>14902.486910994765</v>
      </c>
      <c r="V129" s="102">
        <f t="shared" si="55"/>
        <v>8199.20436963351</v>
      </c>
      <c r="W129" s="102">
        <f t="shared" si="71"/>
        <v>14185.5</v>
      </c>
      <c r="X129" s="102">
        <f t="shared" si="72"/>
        <v>0</v>
      </c>
      <c r="Y129" s="103">
        <f t="shared" si="56"/>
        <v>63505.0696</v>
      </c>
      <c r="AB129" s="76"/>
      <c r="AC129" s="76"/>
      <c r="AD129" s="76"/>
      <c r="AE129" s="77"/>
      <c r="AF129" s="78"/>
      <c r="AG129" s="24"/>
      <c r="AH129" s="53"/>
      <c r="AI129" s="53"/>
      <c r="AJ129" s="53"/>
      <c r="AK129" s="53"/>
      <c r="AL129" s="53"/>
      <c r="AM129" s="1"/>
      <c r="AN129" s="1"/>
    </row>
    <row r="130" spans="2:40" ht="12.75">
      <c r="B130" s="122">
        <f t="shared" si="48"/>
        <v>39225.03519090499</v>
      </c>
      <c r="C130">
        <v>0</v>
      </c>
      <c r="D130" s="2">
        <v>0</v>
      </c>
      <c r="E130">
        <v>0.6</v>
      </c>
      <c r="F130">
        <f t="shared" si="77"/>
        <v>61.70000000000007</v>
      </c>
      <c r="G130" s="1">
        <f t="shared" si="49"/>
        <v>973.7376000000007</v>
      </c>
      <c r="H130" s="1">
        <f t="shared" si="76"/>
        <v>0</v>
      </c>
      <c r="I130">
        <v>60</v>
      </c>
      <c r="J130" s="64">
        <f t="shared" si="78"/>
        <v>60</v>
      </c>
      <c r="K130" s="117">
        <f t="shared" si="60"/>
        <v>0.0004166666666666667</v>
      </c>
      <c r="L130" s="1">
        <f t="shared" si="65"/>
        <v>78433.38552146597</v>
      </c>
      <c r="M130" s="1">
        <f t="shared" si="61"/>
        <v>15279.230945740124</v>
      </c>
      <c r="N130" s="1">
        <f t="shared" si="73"/>
        <v>21000</v>
      </c>
      <c r="O130" s="74">
        <f t="shared" si="66"/>
        <v>0.727582425987625</v>
      </c>
      <c r="P130" s="84">
        <f t="shared" si="75"/>
        <v>6</v>
      </c>
      <c r="Q130" s="1">
        <f t="shared" si="67"/>
        <v>8.80425</v>
      </c>
      <c r="R130" s="1">
        <f t="shared" si="68"/>
        <v>1319.9822727510407</v>
      </c>
      <c r="S130" s="1">
        <f t="shared" si="69"/>
        <v>14.67375</v>
      </c>
      <c r="T130" s="60">
        <f t="shared" si="54"/>
        <v>17.6085</v>
      </c>
      <c r="U130" s="101">
        <f t="shared" si="70"/>
        <v>21459.581151832463</v>
      </c>
      <c r="V130" s="102">
        <f t="shared" si="55"/>
        <v>8199.20436963351</v>
      </c>
      <c r="W130" s="102">
        <f t="shared" si="71"/>
        <v>17022.6</v>
      </c>
      <c r="X130" s="102">
        <f t="shared" si="72"/>
        <v>0</v>
      </c>
      <c r="Y130" s="103">
        <f t="shared" si="56"/>
        <v>31752</v>
      </c>
      <c r="AB130" s="76"/>
      <c r="AC130" s="76"/>
      <c r="AD130" s="76"/>
      <c r="AE130" s="77"/>
      <c r="AF130" s="78"/>
      <c r="AG130" s="24"/>
      <c r="AH130" s="53"/>
      <c r="AI130" s="53"/>
      <c r="AJ130" s="53"/>
      <c r="AK130" s="53"/>
      <c r="AL130" s="53"/>
      <c r="AM130" s="1"/>
      <c r="AN130" s="1"/>
    </row>
    <row r="131" spans="2:40" ht="12.75">
      <c r="B131" s="122">
        <f t="shared" si="48"/>
        <v>39225.03560757166</v>
      </c>
      <c r="C131">
        <v>0</v>
      </c>
      <c r="D131" s="2">
        <v>0</v>
      </c>
      <c r="E131">
        <v>0.6</v>
      </c>
      <c r="F131">
        <f t="shared" si="77"/>
        <v>62.30000000000007</v>
      </c>
      <c r="G131" s="1">
        <f t="shared" si="49"/>
        <v>973.7376000000007</v>
      </c>
      <c r="H131" s="1">
        <f t="shared" si="76"/>
        <v>0</v>
      </c>
      <c r="I131">
        <v>60</v>
      </c>
      <c r="J131" s="64">
        <f t="shared" si="78"/>
        <v>60.000000000000014</v>
      </c>
      <c r="K131" s="117">
        <f t="shared" si="60"/>
        <v>0.00041666666666666653</v>
      </c>
      <c r="L131" s="1">
        <f t="shared" si="65"/>
        <v>46681.38552146597</v>
      </c>
      <c r="M131" s="1">
        <f t="shared" si="61"/>
        <v>9093.77640028558</v>
      </c>
      <c r="N131" s="1">
        <f t="shared" si="73"/>
        <v>21000</v>
      </c>
      <c r="O131" s="74">
        <f t="shared" si="66"/>
        <v>0.43303697144217046</v>
      </c>
      <c r="P131" s="84">
        <f t="shared" si="75"/>
        <v>4</v>
      </c>
      <c r="Q131" s="1">
        <f t="shared" si="67"/>
        <v>5.869499999999999</v>
      </c>
      <c r="R131" s="1">
        <f t="shared" si="68"/>
        <v>1325.8517727510407</v>
      </c>
      <c r="S131" s="1">
        <f t="shared" si="69"/>
        <v>9.782499999999999</v>
      </c>
      <c r="T131" s="60">
        <f t="shared" si="54"/>
        <v>11.738999999999997</v>
      </c>
      <c r="U131" s="101">
        <f t="shared" si="70"/>
        <v>21459.581151832463</v>
      </c>
      <c r="V131" s="102">
        <f t="shared" si="55"/>
        <v>8199.20436963351</v>
      </c>
      <c r="W131" s="102">
        <f t="shared" si="71"/>
        <v>17022.6</v>
      </c>
      <c r="X131" s="102">
        <f t="shared" si="72"/>
        <v>0</v>
      </c>
      <c r="Y131" s="103">
        <f t="shared" si="56"/>
        <v>0</v>
      </c>
      <c r="AB131" s="76"/>
      <c r="AC131" s="76"/>
      <c r="AD131" s="76"/>
      <c r="AE131" s="77"/>
      <c r="AF131" s="78"/>
      <c r="AG131" s="24"/>
      <c r="AH131" s="53"/>
      <c r="AI131" s="53"/>
      <c r="AJ131" s="53"/>
      <c r="AK131" s="53"/>
      <c r="AL131" s="53"/>
      <c r="AM131" s="1"/>
      <c r="AN131" s="1"/>
    </row>
    <row r="132" spans="2:40" ht="12.75">
      <c r="B132" s="122">
        <f t="shared" si="48"/>
        <v>39225.03602423833</v>
      </c>
      <c r="C132">
        <v>3</v>
      </c>
      <c r="D132" s="2">
        <v>0</v>
      </c>
      <c r="E132">
        <v>0.6</v>
      </c>
      <c r="F132">
        <f t="shared" si="77"/>
        <v>62.90000000000007</v>
      </c>
      <c r="G132" s="1">
        <f t="shared" si="49"/>
        <v>973.7376000000007</v>
      </c>
      <c r="H132" s="1">
        <f t="shared" si="76"/>
        <v>0</v>
      </c>
      <c r="I132">
        <v>60</v>
      </c>
      <c r="J132" s="64">
        <f t="shared" si="78"/>
        <v>59.99999999999999</v>
      </c>
      <c r="K132" s="117">
        <f t="shared" si="60"/>
        <v>0.0004166666666666667</v>
      </c>
      <c r="L132" s="1">
        <f t="shared" si="65"/>
        <v>94310.98992146597</v>
      </c>
      <c r="M132" s="1">
        <f t="shared" si="61"/>
        <v>18372.27076392194</v>
      </c>
      <c r="N132" s="1">
        <f t="shared" si="73"/>
        <v>21000</v>
      </c>
      <c r="O132" s="74">
        <f t="shared" si="66"/>
        <v>0.8748700363772353</v>
      </c>
      <c r="P132" s="84">
        <f t="shared" si="75"/>
        <v>7</v>
      </c>
      <c r="Q132" s="1">
        <f t="shared" si="67"/>
        <v>10.271625</v>
      </c>
      <c r="R132" s="1">
        <f t="shared" si="68"/>
        <v>1336.1233977510408</v>
      </c>
      <c r="S132" s="1">
        <f t="shared" si="69"/>
        <v>17.119375</v>
      </c>
      <c r="T132" s="60">
        <f t="shared" si="54"/>
        <v>20.54325</v>
      </c>
      <c r="U132" s="101">
        <f t="shared" si="70"/>
        <v>21459.581151832463</v>
      </c>
      <c r="V132" s="102">
        <f t="shared" si="55"/>
        <v>8199.20436963351</v>
      </c>
      <c r="W132" s="102">
        <f t="shared" si="71"/>
        <v>17022.6</v>
      </c>
      <c r="X132" s="102">
        <f t="shared" si="72"/>
        <v>0</v>
      </c>
      <c r="Y132" s="103">
        <f t="shared" si="56"/>
        <v>47629.6044</v>
      </c>
      <c r="AB132" s="76"/>
      <c r="AC132" s="76"/>
      <c r="AD132" s="76"/>
      <c r="AE132" s="77"/>
      <c r="AF132" s="78"/>
      <c r="AG132" s="24"/>
      <c r="AH132" s="53"/>
      <c r="AI132" s="53"/>
      <c r="AJ132" s="53"/>
      <c r="AK132" s="53"/>
      <c r="AL132" s="53"/>
      <c r="AM132" s="1"/>
      <c r="AN132" s="1"/>
    </row>
    <row r="133" spans="2:40" ht="12.75">
      <c r="B133" s="122">
        <f t="shared" si="48"/>
        <v>39225.036524238334</v>
      </c>
      <c r="C133">
        <v>1</v>
      </c>
      <c r="D133" s="2">
        <v>0</v>
      </c>
      <c r="E133">
        <v>0.6</v>
      </c>
      <c r="F133">
        <f t="shared" si="77"/>
        <v>63.50000000000007</v>
      </c>
      <c r="G133" s="1">
        <f t="shared" si="49"/>
        <v>973.7376000000007</v>
      </c>
      <c r="H133" s="1">
        <f t="shared" si="76"/>
        <v>0</v>
      </c>
      <c r="I133">
        <v>50</v>
      </c>
      <c r="J133" s="64">
        <f t="shared" si="78"/>
        <v>50</v>
      </c>
      <c r="K133" s="117">
        <f t="shared" si="60"/>
        <v>0.0005</v>
      </c>
      <c r="L133" s="1">
        <f t="shared" si="65"/>
        <v>100791.72608062829</v>
      </c>
      <c r="M133" s="1">
        <f t="shared" si="61"/>
        <v>16362.293194907188</v>
      </c>
      <c r="N133" s="1">
        <f t="shared" si="73"/>
        <v>21000</v>
      </c>
      <c r="O133" s="74">
        <f t="shared" si="66"/>
        <v>0.7791568188051042</v>
      </c>
      <c r="P133" s="84">
        <f t="shared" si="75"/>
        <v>6</v>
      </c>
      <c r="Q133" s="1">
        <f t="shared" si="67"/>
        <v>10.5651</v>
      </c>
      <c r="R133" s="1">
        <f t="shared" si="68"/>
        <v>1346.6884977510408</v>
      </c>
      <c r="S133" s="1">
        <f t="shared" si="69"/>
        <v>17.6085</v>
      </c>
      <c r="T133" s="60">
        <f t="shared" si="54"/>
        <v>21.1302</v>
      </c>
      <c r="U133" s="101">
        <f t="shared" si="70"/>
        <v>14902.486910994765</v>
      </c>
      <c r="V133" s="102">
        <f t="shared" si="55"/>
        <v>8199.20436963351</v>
      </c>
      <c r="W133" s="102">
        <f t="shared" si="71"/>
        <v>14185.5</v>
      </c>
      <c r="X133" s="102">
        <f t="shared" si="72"/>
        <v>0</v>
      </c>
      <c r="Y133" s="103">
        <f t="shared" si="56"/>
        <v>63504.5348</v>
      </c>
      <c r="AB133" s="76"/>
      <c r="AC133" s="76"/>
      <c r="AD133" s="76"/>
      <c r="AE133" s="77"/>
      <c r="AF133" s="78"/>
      <c r="AG133" s="24"/>
      <c r="AH133" s="53"/>
      <c r="AI133" s="53"/>
      <c r="AJ133" s="53"/>
      <c r="AK133" s="53"/>
      <c r="AL133" s="53"/>
      <c r="AM133" s="1"/>
      <c r="AN133" s="1"/>
    </row>
    <row r="134" spans="2:40" ht="12.75">
      <c r="B134" s="122">
        <f t="shared" si="48"/>
        <v>39225.036940905</v>
      </c>
      <c r="C134">
        <v>0</v>
      </c>
      <c r="D134" s="2">
        <v>0</v>
      </c>
      <c r="E134">
        <v>0.6</v>
      </c>
      <c r="F134">
        <f t="shared" si="77"/>
        <v>64.10000000000007</v>
      </c>
      <c r="G134" s="1">
        <f t="shared" si="49"/>
        <v>973.7376000000007</v>
      </c>
      <c r="H134" s="1">
        <f t="shared" si="76"/>
        <v>0</v>
      </c>
      <c r="I134">
        <v>60</v>
      </c>
      <c r="J134" s="64">
        <f t="shared" si="78"/>
        <v>60</v>
      </c>
      <c r="K134" s="117">
        <f t="shared" si="60"/>
        <v>0.0004166666666666667</v>
      </c>
      <c r="L134" s="1">
        <f t="shared" si="65"/>
        <v>62557.38552146597</v>
      </c>
      <c r="M134" s="1">
        <f t="shared" si="61"/>
        <v>12186.503673012852</v>
      </c>
      <c r="N134" s="1">
        <f t="shared" si="73"/>
        <v>21000</v>
      </c>
      <c r="O134" s="74">
        <f t="shared" si="66"/>
        <v>0.5803096987148977</v>
      </c>
      <c r="P134" s="84">
        <f t="shared" si="75"/>
        <v>5</v>
      </c>
      <c r="Q134" s="1">
        <f t="shared" si="67"/>
        <v>7.336875000000001</v>
      </c>
      <c r="R134" s="1">
        <f t="shared" si="68"/>
        <v>1354.0253727510408</v>
      </c>
      <c r="S134" s="1">
        <f t="shared" si="69"/>
        <v>12.228125000000002</v>
      </c>
      <c r="T134" s="60">
        <f t="shared" si="54"/>
        <v>14.673750000000002</v>
      </c>
      <c r="U134" s="101">
        <f t="shared" si="70"/>
        <v>21459.581151832463</v>
      </c>
      <c r="V134" s="102">
        <f t="shared" si="55"/>
        <v>8199.20436963351</v>
      </c>
      <c r="W134" s="102">
        <f t="shared" si="71"/>
        <v>17022.6</v>
      </c>
      <c r="X134" s="102">
        <f t="shared" si="72"/>
        <v>0</v>
      </c>
      <c r="Y134" s="103">
        <f t="shared" si="56"/>
        <v>15876</v>
      </c>
      <c r="AB134" s="76"/>
      <c r="AC134" s="76"/>
      <c r="AD134" s="76"/>
      <c r="AE134" s="77"/>
      <c r="AF134" s="78"/>
      <c r="AG134" s="24"/>
      <c r="AH134" s="53"/>
      <c r="AI134" s="53"/>
      <c r="AJ134" s="53"/>
      <c r="AK134" s="53"/>
      <c r="AL134" s="53"/>
      <c r="AM134" s="1"/>
      <c r="AN134" s="1"/>
    </row>
    <row r="135" spans="2:40" ht="12.75">
      <c r="B135" s="122">
        <f t="shared" si="48"/>
        <v>39225.03735757167</v>
      </c>
      <c r="C135">
        <v>1</v>
      </c>
      <c r="D135" s="2">
        <v>0</v>
      </c>
      <c r="E135">
        <v>0.6</v>
      </c>
      <c r="F135">
        <f t="shared" si="77"/>
        <v>64.70000000000006</v>
      </c>
      <c r="G135" s="1">
        <f t="shared" si="49"/>
        <v>973.7376000000007</v>
      </c>
      <c r="H135" s="1">
        <f t="shared" si="76"/>
        <v>0</v>
      </c>
      <c r="I135">
        <v>60</v>
      </c>
      <c r="J135" s="64">
        <f t="shared" si="78"/>
        <v>60</v>
      </c>
      <c r="K135" s="117">
        <f t="shared" si="60"/>
        <v>0.0004166666666666667</v>
      </c>
      <c r="L135" s="1">
        <f t="shared" si="65"/>
        <v>62557.92032146597</v>
      </c>
      <c r="M135" s="1">
        <f t="shared" si="61"/>
        <v>12186.607854831034</v>
      </c>
      <c r="N135" s="1">
        <f t="shared" si="73"/>
        <v>21000</v>
      </c>
      <c r="O135" s="74">
        <f t="shared" si="66"/>
        <v>0.5803146597538588</v>
      </c>
      <c r="P135" s="84">
        <f t="shared" si="75"/>
        <v>5</v>
      </c>
      <c r="Q135" s="1">
        <f t="shared" si="67"/>
        <v>7.336875000000001</v>
      </c>
      <c r="R135" s="1">
        <f t="shared" si="68"/>
        <v>1361.3622477510407</v>
      </c>
      <c r="S135" s="1">
        <f t="shared" si="69"/>
        <v>12.228125000000002</v>
      </c>
      <c r="T135" s="60">
        <f t="shared" si="54"/>
        <v>14.673750000000002</v>
      </c>
      <c r="U135" s="101">
        <f t="shared" si="70"/>
        <v>21459.581151832463</v>
      </c>
      <c r="V135" s="102">
        <f t="shared" si="55"/>
        <v>8199.20436963351</v>
      </c>
      <c r="W135" s="102">
        <f t="shared" si="71"/>
        <v>17022.6</v>
      </c>
      <c r="X135" s="102">
        <f t="shared" si="72"/>
        <v>0</v>
      </c>
      <c r="Y135" s="103">
        <f t="shared" si="56"/>
        <v>15876.5348</v>
      </c>
      <c r="AB135" s="76"/>
      <c r="AC135" s="76"/>
      <c r="AD135" s="76"/>
      <c r="AE135" s="77"/>
      <c r="AF135" s="78"/>
      <c r="AG135" s="24"/>
      <c r="AH135" s="53"/>
      <c r="AI135" s="53"/>
      <c r="AJ135" s="53"/>
      <c r="AK135" s="53"/>
      <c r="AL135" s="53"/>
      <c r="AM135" s="1"/>
      <c r="AN135" s="1"/>
    </row>
    <row r="136" spans="2:40" ht="12.75">
      <c r="B136" s="122">
        <f t="shared" si="48"/>
        <v>39225.03777423834</v>
      </c>
      <c r="C136">
        <v>0</v>
      </c>
      <c r="D136" s="2">
        <v>-0.004</v>
      </c>
      <c r="E136">
        <v>0.6</v>
      </c>
      <c r="F136">
        <f t="shared" si="77"/>
        <v>65.30000000000005</v>
      </c>
      <c r="G136" s="1">
        <f t="shared" si="49"/>
        <v>961.0656000000007</v>
      </c>
      <c r="H136" s="1">
        <f t="shared" si="76"/>
        <v>0</v>
      </c>
      <c r="I136">
        <v>60</v>
      </c>
      <c r="J136" s="64">
        <f t="shared" si="78"/>
        <v>59.99999999999999</v>
      </c>
      <c r="K136" s="117">
        <f t="shared" si="60"/>
        <v>0.0004166666666666667</v>
      </c>
      <c r="L136" s="1">
        <f t="shared" si="65"/>
        <v>17090.42552146597</v>
      </c>
      <c r="M136" s="1">
        <f t="shared" si="61"/>
        <v>3329.3036730128515</v>
      </c>
      <c r="N136" s="1">
        <f t="shared" si="73"/>
        <v>21000</v>
      </c>
      <c r="O136" s="74">
        <f t="shared" si="66"/>
        <v>0.1585382701434691</v>
      </c>
      <c r="P136" s="84">
        <f t="shared" si="75"/>
        <v>2</v>
      </c>
      <c r="Q136" s="1">
        <f t="shared" si="67"/>
        <v>2.93475</v>
      </c>
      <c r="R136" s="1">
        <f t="shared" si="68"/>
        <v>1364.2969977510406</v>
      </c>
      <c r="S136" s="1">
        <f t="shared" si="69"/>
        <v>4.89125</v>
      </c>
      <c r="T136" s="60">
        <f t="shared" si="54"/>
        <v>5.8695</v>
      </c>
      <c r="U136" s="101">
        <f t="shared" si="70"/>
        <v>21459.581151832463</v>
      </c>
      <c r="V136" s="102">
        <f t="shared" si="55"/>
        <v>8199.20436963351</v>
      </c>
      <c r="W136" s="102">
        <f t="shared" si="71"/>
        <v>17022.6</v>
      </c>
      <c r="X136" s="102">
        <f t="shared" si="72"/>
        <v>-45466.96</v>
      </c>
      <c r="Y136" s="103">
        <f t="shared" si="56"/>
        <v>15876</v>
      </c>
      <c r="AB136" s="76"/>
      <c r="AC136" s="76"/>
      <c r="AD136" s="76"/>
      <c r="AE136" s="77"/>
      <c r="AF136" s="78"/>
      <c r="AG136" s="24"/>
      <c r="AH136" s="53"/>
      <c r="AI136" s="53"/>
      <c r="AJ136" s="53"/>
      <c r="AK136" s="53"/>
      <c r="AL136" s="53"/>
      <c r="AM136" s="1"/>
      <c r="AN136" s="1"/>
    </row>
    <row r="137" spans="2:40" ht="12.75">
      <c r="B137" s="122">
        <f t="shared" si="48"/>
        <v>39225.03819090501</v>
      </c>
      <c r="C137">
        <v>0</v>
      </c>
      <c r="D137" s="2">
        <v>-0.004</v>
      </c>
      <c r="E137">
        <v>0.6</v>
      </c>
      <c r="F137">
        <f t="shared" si="77"/>
        <v>65.90000000000005</v>
      </c>
      <c r="G137" s="1">
        <f t="shared" si="49"/>
        <v>948.3936000000007</v>
      </c>
      <c r="H137" s="1">
        <f t="shared" si="76"/>
        <v>0</v>
      </c>
      <c r="I137">
        <v>60</v>
      </c>
      <c r="J137" s="64">
        <f t="shared" si="78"/>
        <v>60</v>
      </c>
      <c r="K137" s="117">
        <f t="shared" si="60"/>
        <v>0.0004166666666666667</v>
      </c>
      <c r="L137" s="1">
        <f t="shared" si="65"/>
        <v>1214.4255214659715</v>
      </c>
      <c r="M137" s="1">
        <f t="shared" si="61"/>
        <v>236.57640028557887</v>
      </c>
      <c r="N137" s="1">
        <f t="shared" si="73"/>
        <v>21000</v>
      </c>
      <c r="O137" s="74">
        <f t="shared" si="66"/>
        <v>0.011265542870741852</v>
      </c>
      <c r="P137" s="84">
        <f t="shared" si="75"/>
        <v>1</v>
      </c>
      <c r="Q137" s="1">
        <f t="shared" si="67"/>
        <v>1.467375</v>
      </c>
      <c r="R137" s="1">
        <f t="shared" si="68"/>
        <v>1365.7643727510406</v>
      </c>
      <c r="S137" s="1">
        <f t="shared" si="69"/>
        <v>2.445625</v>
      </c>
      <c r="T137" s="60">
        <f t="shared" si="54"/>
        <v>2.93475</v>
      </c>
      <c r="U137" s="101">
        <f t="shared" si="70"/>
        <v>21459.581151832463</v>
      </c>
      <c r="V137" s="102">
        <f t="shared" si="55"/>
        <v>8199.20436963351</v>
      </c>
      <c r="W137" s="102">
        <f t="shared" si="71"/>
        <v>17022.6</v>
      </c>
      <c r="X137" s="102">
        <f t="shared" si="72"/>
        <v>-45466.96</v>
      </c>
      <c r="Y137" s="103">
        <f t="shared" si="56"/>
        <v>0</v>
      </c>
      <c r="AB137" s="76"/>
      <c r="AC137" s="76"/>
      <c r="AD137" s="76"/>
      <c r="AE137" s="77"/>
      <c r="AF137" s="78"/>
      <c r="AG137" s="24"/>
      <c r="AH137" s="53"/>
      <c r="AI137" s="53"/>
      <c r="AJ137" s="53"/>
      <c r="AK137" s="53"/>
      <c r="AL137" s="53"/>
      <c r="AM137" s="1"/>
      <c r="AN137" s="1"/>
    </row>
    <row r="138" spans="2:40" ht="12.75">
      <c r="B138" s="122">
        <f t="shared" si="48"/>
        <v>39225.03860757168</v>
      </c>
      <c r="C138">
        <v>2</v>
      </c>
      <c r="D138" s="2">
        <v>-0.003</v>
      </c>
      <c r="E138">
        <v>0.6</v>
      </c>
      <c r="F138">
        <f t="shared" si="77"/>
        <v>66.50000000000004</v>
      </c>
      <c r="G138" s="1">
        <f t="shared" si="49"/>
        <v>938.8896000000007</v>
      </c>
      <c r="H138" s="1">
        <f t="shared" si="76"/>
        <v>0</v>
      </c>
      <c r="I138">
        <v>60</v>
      </c>
      <c r="J138" s="64">
        <f t="shared" si="78"/>
        <v>60</v>
      </c>
      <c r="K138" s="117">
        <f t="shared" si="60"/>
        <v>0.0004166666666666667</v>
      </c>
      <c r="L138" s="1">
        <f t="shared" si="65"/>
        <v>44334.23512146597</v>
      </c>
      <c r="M138" s="1">
        <f t="shared" si="61"/>
        <v>8636.539309376489</v>
      </c>
      <c r="N138" s="1">
        <f t="shared" si="73"/>
        <v>21000</v>
      </c>
      <c r="O138" s="74">
        <f t="shared" si="66"/>
        <v>0.41126377663697566</v>
      </c>
      <c r="P138" s="84">
        <f t="shared" si="75"/>
        <v>3</v>
      </c>
      <c r="Q138" s="1">
        <f t="shared" si="67"/>
        <v>4.402125</v>
      </c>
      <c r="R138" s="1">
        <f t="shared" si="68"/>
        <v>1370.1664977510407</v>
      </c>
      <c r="S138" s="1">
        <f t="shared" si="69"/>
        <v>7.336875</v>
      </c>
      <c r="T138" s="60">
        <f t="shared" si="54"/>
        <v>8.80425</v>
      </c>
      <c r="U138" s="101">
        <f t="shared" si="70"/>
        <v>21459.581151832463</v>
      </c>
      <c r="V138" s="102">
        <f t="shared" si="55"/>
        <v>8199.20436963351</v>
      </c>
      <c r="W138" s="102">
        <f t="shared" si="71"/>
        <v>17022.6</v>
      </c>
      <c r="X138" s="102">
        <f t="shared" si="72"/>
        <v>-34100.22</v>
      </c>
      <c r="Y138" s="103">
        <f t="shared" si="56"/>
        <v>31753.0696</v>
      </c>
      <c r="AB138" s="76"/>
      <c r="AC138" s="76"/>
      <c r="AD138" s="76"/>
      <c r="AE138" s="77"/>
      <c r="AF138" s="78"/>
      <c r="AG138" s="24"/>
      <c r="AH138" s="53"/>
      <c r="AI138" s="53"/>
      <c r="AJ138" s="53"/>
      <c r="AK138" s="53"/>
      <c r="AL138" s="53"/>
      <c r="AM138" s="1"/>
      <c r="AN138" s="1"/>
    </row>
    <row r="139" spans="2:40" ht="12.75">
      <c r="B139" s="122">
        <f aca="true" t="shared" si="79" ref="B139:B202">(B138+(K139))</f>
        <v>39225.03902423835</v>
      </c>
      <c r="C139">
        <v>1</v>
      </c>
      <c r="D139" s="2">
        <v>-0.003</v>
      </c>
      <c r="E139">
        <v>0.6</v>
      </c>
      <c r="F139">
        <f t="shared" si="77"/>
        <v>67.10000000000004</v>
      </c>
      <c r="G139" s="1">
        <f aca="true" t="shared" si="80" ref="G139:G202">G138+E139*D139*5280</f>
        <v>929.3856000000006</v>
      </c>
      <c r="H139" s="1">
        <f t="shared" si="76"/>
        <v>0</v>
      </c>
      <c r="I139">
        <v>60</v>
      </c>
      <c r="J139" s="64">
        <f t="shared" si="78"/>
        <v>60</v>
      </c>
      <c r="K139" s="117">
        <f t="shared" si="60"/>
        <v>0.0004166666666666667</v>
      </c>
      <c r="L139" s="1">
        <f t="shared" si="65"/>
        <v>60209.70032146597</v>
      </c>
      <c r="M139" s="1">
        <f aca="true" t="shared" si="81" ref="M139:M202">$L139*$I139/308</f>
        <v>11729.162400285579</v>
      </c>
      <c r="N139" s="1">
        <f t="shared" si="73"/>
        <v>21000</v>
      </c>
      <c r="O139" s="74">
        <f t="shared" si="66"/>
        <v>0.5585315428707418</v>
      </c>
      <c r="P139" s="84">
        <f t="shared" si="75"/>
        <v>4</v>
      </c>
      <c r="Q139" s="1">
        <f t="shared" si="67"/>
        <v>5.8695</v>
      </c>
      <c r="R139" s="1">
        <f t="shared" si="68"/>
        <v>1376.0359977510407</v>
      </c>
      <c r="S139" s="1">
        <f t="shared" si="69"/>
        <v>9.7825</v>
      </c>
      <c r="T139" s="60">
        <f aca="true" t="shared" si="82" ref="T139:T202">Q139*$AB$15</f>
        <v>11.739</v>
      </c>
      <c r="U139" s="101">
        <f t="shared" si="70"/>
        <v>21459.581151832463</v>
      </c>
      <c r="V139" s="102">
        <f aca="true" t="shared" si="83" ref="V139:V202">$AB$11*(1.3+0.29/((VLOOKUP($AB$10,$AA$36:$AI$44,9,0))/VLOOKUP($AB$10,$AA$36:$AI$44,8,0)))+(1.3+0.29/((VLOOKUP($AB$12,$AA$27:$AH$33,7,0))/VLOOKUP($AB$12,$AA$27:$AH$33,8,0)))*$AE$7</f>
        <v>8199.20436963351</v>
      </c>
      <c r="W139" s="102">
        <f t="shared" si="71"/>
        <v>17022.6</v>
      </c>
      <c r="X139" s="102">
        <f t="shared" si="72"/>
        <v>-34100.22</v>
      </c>
      <c r="Y139" s="103">
        <f aca="true" t="shared" si="84" ref="Y139:Y202">(IF(E139*5280&lt;$AE$8,($AB$14*(0.8*C138*((VLOOKUP($AB$12,$AA$27:$AH$33,7,0))/2000/2000))*$AE$7),0)+$AB$11*(0.8*C139*(VLOOKUP($AB$10,$AA$36:$AI$44,9,0))/2000)+$AB$14*(0.8*C139*((VLOOKUP($AB$12,$AA$27:$AH$33,7,0))/2000/2000))*$AE$7)</f>
        <v>47628.5348</v>
      </c>
      <c r="AB139" s="76"/>
      <c r="AC139" s="76"/>
      <c r="AD139" s="76"/>
      <c r="AE139" s="77"/>
      <c r="AF139" s="78"/>
      <c r="AG139" s="24"/>
      <c r="AH139" s="53"/>
      <c r="AI139" s="53"/>
      <c r="AJ139" s="53"/>
      <c r="AK139" s="53"/>
      <c r="AL139" s="53"/>
      <c r="AM139" s="1"/>
      <c r="AN139" s="1"/>
    </row>
    <row r="140" spans="2:40" ht="12.75">
      <c r="B140" s="122">
        <f t="shared" si="79"/>
        <v>39225.03944090502</v>
      </c>
      <c r="C140">
        <v>1</v>
      </c>
      <c r="D140" s="2">
        <v>-0.003</v>
      </c>
      <c r="E140">
        <v>0.6</v>
      </c>
      <c r="F140">
        <f t="shared" si="77"/>
        <v>67.70000000000003</v>
      </c>
      <c r="G140" s="1">
        <f t="shared" si="80"/>
        <v>919.8816000000006</v>
      </c>
      <c r="H140" s="1">
        <f t="shared" si="76"/>
        <v>0</v>
      </c>
      <c r="I140">
        <v>60</v>
      </c>
      <c r="J140" s="64">
        <f t="shared" si="78"/>
        <v>60</v>
      </c>
      <c r="K140" s="117">
        <f t="shared" si="60"/>
        <v>0.0004166666666666667</v>
      </c>
      <c r="L140" s="1">
        <f t="shared" si="65"/>
        <v>44333.70032146597</v>
      </c>
      <c r="M140" s="1">
        <f t="shared" si="81"/>
        <v>8636.435127558307</v>
      </c>
      <c r="N140" s="1">
        <f t="shared" si="73"/>
        <v>21000</v>
      </c>
      <c r="O140" s="74">
        <f t="shared" si="66"/>
        <v>0.4112588155980146</v>
      </c>
      <c r="P140" s="84">
        <f t="shared" si="75"/>
        <v>3</v>
      </c>
      <c r="Q140" s="1">
        <f t="shared" si="67"/>
        <v>4.402125</v>
      </c>
      <c r="R140" s="1">
        <f t="shared" si="68"/>
        <v>1380.4381227510407</v>
      </c>
      <c r="S140" s="1">
        <f t="shared" si="69"/>
        <v>7.336875</v>
      </c>
      <c r="T140" s="60">
        <f t="shared" si="82"/>
        <v>8.80425</v>
      </c>
      <c r="U140" s="101">
        <f t="shared" si="70"/>
        <v>21459.581151832463</v>
      </c>
      <c r="V140" s="102">
        <f t="shared" si="83"/>
        <v>8199.20436963351</v>
      </c>
      <c r="W140" s="102">
        <f t="shared" si="71"/>
        <v>17022.6</v>
      </c>
      <c r="X140" s="102">
        <f t="shared" si="72"/>
        <v>-34100.22</v>
      </c>
      <c r="Y140" s="103">
        <f t="shared" si="84"/>
        <v>31752.5348</v>
      </c>
      <c r="AB140" s="76"/>
      <c r="AC140" s="76"/>
      <c r="AD140" s="76"/>
      <c r="AE140" s="77"/>
      <c r="AF140" s="78"/>
      <c r="AG140" s="24"/>
      <c r="AH140" s="53"/>
      <c r="AI140" s="53"/>
      <c r="AJ140" s="53"/>
      <c r="AK140" s="53"/>
      <c r="AL140" s="53"/>
      <c r="AM140" s="1"/>
      <c r="AN140" s="1"/>
    </row>
    <row r="141" spans="2:40" ht="12.75">
      <c r="B141" s="122">
        <f t="shared" si="79"/>
        <v>39225.03985757169</v>
      </c>
      <c r="C141">
        <v>0</v>
      </c>
      <c r="D141" s="2">
        <v>-0.002</v>
      </c>
      <c r="E141">
        <v>0.6</v>
      </c>
      <c r="F141">
        <f t="shared" si="77"/>
        <v>68.30000000000003</v>
      </c>
      <c r="G141" s="1">
        <f t="shared" si="80"/>
        <v>913.5456000000006</v>
      </c>
      <c r="H141" s="1">
        <f>IF(G141-G140&gt;0,G141-G140,0)</f>
        <v>0</v>
      </c>
      <c r="I141">
        <v>60</v>
      </c>
      <c r="J141" s="64">
        <f t="shared" si="78"/>
        <v>60</v>
      </c>
      <c r="K141" s="117">
        <f t="shared" si="60"/>
        <v>0.0004166666666666667</v>
      </c>
      <c r="L141" s="1">
        <f t="shared" si="65"/>
        <v>39823.905521465975</v>
      </c>
      <c r="M141" s="1">
        <f t="shared" si="81"/>
        <v>7757.903673012853</v>
      </c>
      <c r="N141" s="1">
        <f t="shared" si="73"/>
        <v>21000</v>
      </c>
      <c r="O141" s="74">
        <f t="shared" si="66"/>
        <v>0.36942398442918345</v>
      </c>
      <c r="P141" s="84">
        <f t="shared" si="75"/>
        <v>3</v>
      </c>
      <c r="Q141" s="1">
        <f t="shared" si="67"/>
        <v>4.402125</v>
      </c>
      <c r="R141" s="1">
        <f t="shared" si="68"/>
        <v>1384.8402477510408</v>
      </c>
      <c r="S141" s="1">
        <f t="shared" si="69"/>
        <v>7.336875</v>
      </c>
      <c r="T141" s="60">
        <f t="shared" si="82"/>
        <v>8.80425</v>
      </c>
      <c r="U141" s="101">
        <f t="shared" si="70"/>
        <v>21459.581151832463</v>
      </c>
      <c r="V141" s="102">
        <f t="shared" si="83"/>
        <v>8199.20436963351</v>
      </c>
      <c r="W141" s="102">
        <f t="shared" si="71"/>
        <v>17022.6</v>
      </c>
      <c r="X141" s="102">
        <f t="shared" si="72"/>
        <v>-22733.48</v>
      </c>
      <c r="Y141" s="103">
        <f t="shared" si="84"/>
        <v>15876</v>
      </c>
      <c r="AB141" s="76"/>
      <c r="AC141" s="76"/>
      <c r="AD141" s="76"/>
      <c r="AE141" s="77"/>
      <c r="AF141" s="78"/>
      <c r="AG141" s="24"/>
      <c r="AH141" s="53"/>
      <c r="AI141" s="53"/>
      <c r="AJ141" s="53"/>
      <c r="AK141" s="53"/>
      <c r="AL141" s="53"/>
      <c r="AM141" s="1"/>
      <c r="AN141" s="1"/>
    </row>
    <row r="142" spans="2:40" ht="12.75">
      <c r="B142" s="122">
        <f t="shared" si="79"/>
        <v>39225.04027423836</v>
      </c>
      <c r="C142">
        <v>0</v>
      </c>
      <c r="D142" s="2">
        <v>0</v>
      </c>
      <c r="E142">
        <v>0.6</v>
      </c>
      <c r="F142">
        <f t="shared" si="77"/>
        <v>68.90000000000002</v>
      </c>
      <c r="G142" s="1">
        <f t="shared" si="80"/>
        <v>913.5456000000006</v>
      </c>
      <c r="H142" s="1">
        <f aca="true" t="shared" si="85" ref="H142:H169">IF(G142-G141&gt;0,G142-G141,0)</f>
        <v>0</v>
      </c>
      <c r="I142">
        <v>60</v>
      </c>
      <c r="J142" s="64">
        <f t="shared" si="78"/>
        <v>60.000000000000014</v>
      </c>
      <c r="K142" s="117">
        <f t="shared" si="60"/>
        <v>0.00041666666666666653</v>
      </c>
      <c r="L142" s="1">
        <f t="shared" si="65"/>
        <v>46681.38552146597</v>
      </c>
      <c r="M142" s="1">
        <f t="shared" si="81"/>
        <v>9093.77640028558</v>
      </c>
      <c r="N142" s="1">
        <f t="shared" si="73"/>
        <v>21000</v>
      </c>
      <c r="O142" s="74">
        <f t="shared" si="66"/>
        <v>0.43303697144217046</v>
      </c>
      <c r="P142" s="84">
        <f t="shared" si="75"/>
        <v>4</v>
      </c>
      <c r="Q142" s="1">
        <f t="shared" si="67"/>
        <v>5.869499999999999</v>
      </c>
      <c r="R142" s="1">
        <f t="shared" si="68"/>
        <v>1390.7097477510408</v>
      </c>
      <c r="S142" s="1">
        <f t="shared" si="69"/>
        <v>9.782499999999999</v>
      </c>
      <c r="T142" s="60">
        <f t="shared" si="82"/>
        <v>11.738999999999997</v>
      </c>
      <c r="U142" s="101">
        <f t="shared" si="70"/>
        <v>21459.581151832463</v>
      </c>
      <c r="V142" s="102">
        <f t="shared" si="83"/>
        <v>8199.20436963351</v>
      </c>
      <c r="W142" s="102">
        <f t="shared" si="71"/>
        <v>17022.6</v>
      </c>
      <c r="X142" s="102">
        <f t="shared" si="72"/>
        <v>0</v>
      </c>
      <c r="Y142" s="103">
        <f t="shared" si="84"/>
        <v>0</v>
      </c>
      <c r="AB142" s="76"/>
      <c r="AC142" s="76"/>
      <c r="AD142" s="76"/>
      <c r="AE142" s="77"/>
      <c r="AF142" s="78"/>
      <c r="AG142" s="24"/>
      <c r="AH142" s="53"/>
      <c r="AI142" s="53"/>
      <c r="AJ142" s="53"/>
      <c r="AK142" s="53"/>
      <c r="AL142" s="53"/>
      <c r="AM142" s="1"/>
      <c r="AN142" s="1"/>
    </row>
    <row r="143" spans="2:40" ht="12.75">
      <c r="B143" s="122">
        <f t="shared" si="79"/>
        <v>39225.04069090503</v>
      </c>
      <c r="C143">
        <v>0</v>
      </c>
      <c r="D143" s="2">
        <v>0</v>
      </c>
      <c r="E143">
        <v>0.6</v>
      </c>
      <c r="F143">
        <f t="shared" si="77"/>
        <v>69.50000000000001</v>
      </c>
      <c r="G143" s="1">
        <f t="shared" si="80"/>
        <v>913.5456000000006</v>
      </c>
      <c r="H143" s="1">
        <f t="shared" si="85"/>
        <v>0</v>
      </c>
      <c r="I143">
        <v>60</v>
      </c>
      <c r="J143" s="64">
        <f t="shared" si="78"/>
        <v>60.000000000000014</v>
      </c>
      <c r="K143" s="117">
        <f t="shared" si="60"/>
        <v>0.00041666666666666653</v>
      </c>
      <c r="L143" s="1">
        <f t="shared" si="65"/>
        <v>46681.38552146597</v>
      </c>
      <c r="M143" s="1">
        <f t="shared" si="81"/>
        <v>9093.77640028558</v>
      </c>
      <c r="N143" s="1">
        <f t="shared" si="73"/>
        <v>21000</v>
      </c>
      <c r="O143" s="74">
        <f t="shared" si="66"/>
        <v>0.43303697144217046</v>
      </c>
      <c r="P143" s="84">
        <f t="shared" si="75"/>
        <v>4</v>
      </c>
      <c r="Q143" s="1">
        <f t="shared" si="67"/>
        <v>5.869499999999999</v>
      </c>
      <c r="R143" s="1">
        <f t="shared" si="68"/>
        <v>1396.5792477510408</v>
      </c>
      <c r="S143" s="1">
        <f t="shared" si="69"/>
        <v>9.782499999999999</v>
      </c>
      <c r="T143" s="60">
        <f t="shared" si="82"/>
        <v>11.738999999999997</v>
      </c>
      <c r="U143" s="101">
        <f t="shared" si="70"/>
        <v>21459.581151832463</v>
      </c>
      <c r="V143" s="102">
        <f t="shared" si="83"/>
        <v>8199.20436963351</v>
      </c>
      <c r="W143" s="102">
        <f t="shared" si="71"/>
        <v>17022.6</v>
      </c>
      <c r="X143" s="102">
        <f t="shared" si="72"/>
        <v>0</v>
      </c>
      <c r="Y143" s="103">
        <f t="shared" si="84"/>
        <v>0</v>
      </c>
      <c r="AB143" s="76"/>
      <c r="AC143" s="76"/>
      <c r="AD143" s="76"/>
      <c r="AE143" s="77"/>
      <c r="AF143" s="78"/>
      <c r="AG143" s="24"/>
      <c r="AH143" s="53"/>
      <c r="AI143" s="53"/>
      <c r="AJ143" s="53"/>
      <c r="AK143" s="53"/>
      <c r="AL143" s="53"/>
      <c r="AM143" s="1"/>
      <c r="AN143" s="1"/>
    </row>
    <row r="144" spans="2:40" ht="12.75">
      <c r="B144" s="122">
        <f t="shared" si="79"/>
        <v>39225.0411075717</v>
      </c>
      <c r="C144">
        <v>1</v>
      </c>
      <c r="D144" s="2">
        <v>0.0005</v>
      </c>
      <c r="E144">
        <v>0.6</v>
      </c>
      <c r="F144">
        <f t="shared" si="77"/>
        <v>70.10000000000001</v>
      </c>
      <c r="G144" s="1">
        <f t="shared" si="80"/>
        <v>915.1296000000006</v>
      </c>
      <c r="H144" s="1">
        <f t="shared" si="85"/>
        <v>1.5839999999999463</v>
      </c>
      <c r="I144">
        <v>60</v>
      </c>
      <c r="J144" s="64">
        <f t="shared" si="78"/>
        <v>60</v>
      </c>
      <c r="K144" s="117">
        <f t="shared" si="60"/>
        <v>0.0004166666666666667</v>
      </c>
      <c r="L144" s="1">
        <f t="shared" si="65"/>
        <v>68241.29032146597</v>
      </c>
      <c r="M144" s="1">
        <f t="shared" si="81"/>
        <v>13293.757854831034</v>
      </c>
      <c r="N144" s="1">
        <f t="shared" si="73"/>
        <v>21000</v>
      </c>
      <c r="O144" s="74">
        <f t="shared" si="66"/>
        <v>0.6330360883252873</v>
      </c>
      <c r="P144" s="84">
        <f t="shared" si="75"/>
        <v>5</v>
      </c>
      <c r="Q144" s="1">
        <f t="shared" si="67"/>
        <v>7.336875000000001</v>
      </c>
      <c r="R144" s="1">
        <f t="shared" si="68"/>
        <v>1403.9161227510408</v>
      </c>
      <c r="S144" s="1">
        <f t="shared" si="69"/>
        <v>12.228125000000002</v>
      </c>
      <c r="T144" s="60">
        <f t="shared" si="82"/>
        <v>14.673750000000002</v>
      </c>
      <c r="U144" s="101">
        <f t="shared" si="70"/>
        <v>21459.581151832463</v>
      </c>
      <c r="V144" s="102">
        <f t="shared" si="83"/>
        <v>8199.20436963351</v>
      </c>
      <c r="W144" s="102">
        <f t="shared" si="71"/>
        <v>17022.6</v>
      </c>
      <c r="X144" s="102">
        <f t="shared" si="72"/>
        <v>5683.37</v>
      </c>
      <c r="Y144" s="103">
        <f t="shared" si="84"/>
        <v>15876.5348</v>
      </c>
      <c r="AB144" s="76"/>
      <c r="AC144" s="76"/>
      <c r="AD144" s="76"/>
      <c r="AE144" s="77"/>
      <c r="AF144" s="78"/>
      <c r="AG144" s="24"/>
      <c r="AH144" s="53"/>
      <c r="AI144" s="53"/>
      <c r="AJ144" s="53"/>
      <c r="AK144" s="53"/>
      <c r="AL144" s="53"/>
      <c r="AM144" s="1"/>
      <c r="AN144" s="1"/>
    </row>
    <row r="145" spans="2:40" ht="12.75">
      <c r="B145" s="122">
        <f t="shared" si="79"/>
        <v>39225.04152423837</v>
      </c>
      <c r="C145">
        <v>0</v>
      </c>
      <c r="D145" s="2">
        <v>0</v>
      </c>
      <c r="E145">
        <v>0.6</v>
      </c>
      <c r="F145">
        <f t="shared" si="77"/>
        <v>70.7</v>
      </c>
      <c r="G145" s="1">
        <f t="shared" si="80"/>
        <v>915.1296000000006</v>
      </c>
      <c r="H145" s="1">
        <f t="shared" si="85"/>
        <v>0</v>
      </c>
      <c r="I145">
        <v>60</v>
      </c>
      <c r="J145" s="64">
        <f t="shared" si="78"/>
        <v>60</v>
      </c>
      <c r="K145" s="117">
        <f aca="true" t="shared" si="86" ref="K145:K208">(E145/J145)/24</f>
        <v>0.0004166666666666667</v>
      </c>
      <c r="L145" s="1">
        <f t="shared" si="65"/>
        <v>62557.38552146597</v>
      </c>
      <c r="M145" s="1">
        <f t="shared" si="81"/>
        <v>12186.503673012852</v>
      </c>
      <c r="N145" s="1">
        <f t="shared" si="73"/>
        <v>21000</v>
      </c>
      <c r="O145" s="74">
        <f t="shared" si="66"/>
        <v>0.5803096987148977</v>
      </c>
      <c r="P145" s="84">
        <f t="shared" si="75"/>
        <v>5</v>
      </c>
      <c r="Q145" s="1">
        <f t="shared" si="67"/>
        <v>7.336875000000001</v>
      </c>
      <c r="R145" s="1">
        <f t="shared" si="68"/>
        <v>1411.2529977510408</v>
      </c>
      <c r="S145" s="1">
        <f t="shared" si="69"/>
        <v>12.228125000000002</v>
      </c>
      <c r="T145" s="60">
        <f t="shared" si="82"/>
        <v>14.673750000000002</v>
      </c>
      <c r="U145" s="101">
        <f t="shared" si="70"/>
        <v>21459.581151832463</v>
      </c>
      <c r="V145" s="102">
        <f t="shared" si="83"/>
        <v>8199.20436963351</v>
      </c>
      <c r="W145" s="102">
        <f t="shared" si="71"/>
        <v>17022.6</v>
      </c>
      <c r="X145" s="102">
        <f t="shared" si="72"/>
        <v>0</v>
      </c>
      <c r="Y145" s="103">
        <f t="shared" si="84"/>
        <v>15876</v>
      </c>
      <c r="AB145" s="76"/>
      <c r="AC145" s="76"/>
      <c r="AD145" s="76"/>
      <c r="AE145" s="77"/>
      <c r="AF145" s="78"/>
      <c r="AG145" s="24"/>
      <c r="AH145" s="53"/>
      <c r="AI145" s="53"/>
      <c r="AJ145" s="53"/>
      <c r="AK145" s="53"/>
      <c r="AL145" s="53"/>
      <c r="AM145" s="1"/>
      <c r="AN145" s="1"/>
    </row>
    <row r="146" spans="2:40" ht="12.75">
      <c r="B146" s="122">
        <f t="shared" si="79"/>
        <v>39225.04194090504</v>
      </c>
      <c r="C146">
        <v>0</v>
      </c>
      <c r="D146" s="2">
        <v>0</v>
      </c>
      <c r="E146">
        <v>0.6</v>
      </c>
      <c r="F146">
        <f t="shared" si="77"/>
        <v>71.3</v>
      </c>
      <c r="G146" s="1">
        <f t="shared" si="80"/>
        <v>915.1296000000006</v>
      </c>
      <c r="H146" s="1">
        <f t="shared" si="85"/>
        <v>0</v>
      </c>
      <c r="I146">
        <v>60</v>
      </c>
      <c r="J146" s="64">
        <f t="shared" si="78"/>
        <v>60.000000000000014</v>
      </c>
      <c r="K146" s="117">
        <f t="shared" si="86"/>
        <v>0.00041666666666666653</v>
      </c>
      <c r="L146" s="1">
        <f t="shared" si="65"/>
        <v>46681.38552146597</v>
      </c>
      <c r="M146" s="1">
        <f t="shared" si="81"/>
        <v>9093.77640028558</v>
      </c>
      <c r="N146" s="1">
        <f t="shared" si="73"/>
        <v>21000</v>
      </c>
      <c r="O146" s="74">
        <f t="shared" si="66"/>
        <v>0.43303697144217046</v>
      </c>
      <c r="P146" s="84">
        <f t="shared" si="75"/>
        <v>4</v>
      </c>
      <c r="Q146" s="1">
        <f t="shared" si="67"/>
        <v>5.869499999999999</v>
      </c>
      <c r="R146" s="1">
        <f t="shared" si="68"/>
        <v>1417.1224977510408</v>
      </c>
      <c r="S146" s="1">
        <f t="shared" si="69"/>
        <v>9.782499999999999</v>
      </c>
      <c r="T146" s="60">
        <f t="shared" si="82"/>
        <v>11.738999999999997</v>
      </c>
      <c r="U146" s="101">
        <f t="shared" si="70"/>
        <v>21459.581151832463</v>
      </c>
      <c r="V146" s="102">
        <f t="shared" si="83"/>
        <v>8199.20436963351</v>
      </c>
      <c r="W146" s="102">
        <f t="shared" si="71"/>
        <v>17022.6</v>
      </c>
      <c r="X146" s="102">
        <f t="shared" si="72"/>
        <v>0</v>
      </c>
      <c r="Y146" s="103">
        <f t="shared" si="84"/>
        <v>0</v>
      </c>
      <c r="AB146" s="76"/>
      <c r="AC146" s="76"/>
      <c r="AD146" s="76"/>
      <c r="AE146" s="77"/>
      <c r="AF146" s="78"/>
      <c r="AG146" s="24"/>
      <c r="AH146" s="53"/>
      <c r="AI146" s="53"/>
      <c r="AJ146" s="53"/>
      <c r="AK146" s="53"/>
      <c r="AL146" s="53"/>
      <c r="AM146" s="1"/>
      <c r="AN146" s="1"/>
    </row>
    <row r="147" spans="2:40" ht="12.75">
      <c r="B147" s="122">
        <f t="shared" si="79"/>
        <v>39225.04235757171</v>
      </c>
      <c r="C147">
        <v>0</v>
      </c>
      <c r="D147" s="2">
        <v>0</v>
      </c>
      <c r="E147">
        <v>0.6</v>
      </c>
      <c r="F147">
        <f t="shared" si="77"/>
        <v>71.89999999999999</v>
      </c>
      <c r="G147" s="1">
        <f t="shared" si="80"/>
        <v>915.1296000000006</v>
      </c>
      <c r="H147" s="1">
        <f t="shared" si="85"/>
        <v>0</v>
      </c>
      <c r="I147">
        <v>60</v>
      </c>
      <c r="J147" s="64">
        <f t="shared" si="78"/>
        <v>60.000000000000014</v>
      </c>
      <c r="K147" s="117">
        <f t="shared" si="86"/>
        <v>0.00041666666666666653</v>
      </c>
      <c r="L147" s="1">
        <f t="shared" si="65"/>
        <v>46681.38552146597</v>
      </c>
      <c r="M147" s="1">
        <f t="shared" si="81"/>
        <v>9093.77640028558</v>
      </c>
      <c r="N147" s="1">
        <f t="shared" si="73"/>
        <v>21000</v>
      </c>
      <c r="O147" s="74">
        <f t="shared" si="66"/>
        <v>0.43303697144217046</v>
      </c>
      <c r="P147" s="84">
        <f t="shared" si="75"/>
        <v>4</v>
      </c>
      <c r="Q147" s="1">
        <f t="shared" si="67"/>
        <v>5.869499999999999</v>
      </c>
      <c r="R147" s="1">
        <f t="shared" si="68"/>
        <v>1422.9919977510408</v>
      </c>
      <c r="S147" s="1">
        <f t="shared" si="69"/>
        <v>9.782499999999999</v>
      </c>
      <c r="T147" s="60">
        <f t="shared" si="82"/>
        <v>11.738999999999997</v>
      </c>
      <c r="U147" s="101">
        <f t="shared" si="70"/>
        <v>21459.581151832463</v>
      </c>
      <c r="V147" s="102">
        <f t="shared" si="83"/>
        <v>8199.20436963351</v>
      </c>
      <c r="W147" s="102">
        <f t="shared" si="71"/>
        <v>17022.6</v>
      </c>
      <c r="X147" s="102">
        <f t="shared" si="72"/>
        <v>0</v>
      </c>
      <c r="Y147" s="103">
        <f t="shared" si="84"/>
        <v>0</v>
      </c>
      <c r="AB147" s="76"/>
      <c r="AC147" s="76"/>
      <c r="AD147" s="76"/>
      <c r="AE147" s="77"/>
      <c r="AF147" s="78"/>
      <c r="AG147" s="24"/>
      <c r="AH147" s="53"/>
      <c r="AI147" s="53"/>
      <c r="AJ147" s="53"/>
      <c r="AK147" s="53"/>
      <c r="AL147" s="53"/>
      <c r="AM147" s="1"/>
      <c r="AN147" s="1"/>
    </row>
    <row r="148" spans="2:40" ht="12.75">
      <c r="B148" s="122">
        <f t="shared" si="79"/>
        <v>39225.042774238376</v>
      </c>
      <c r="C148">
        <v>0</v>
      </c>
      <c r="D148" s="2">
        <v>0</v>
      </c>
      <c r="E148">
        <v>0.6</v>
      </c>
      <c r="F148">
        <f t="shared" si="77"/>
        <v>72.49999999999999</v>
      </c>
      <c r="G148" s="1">
        <f t="shared" si="80"/>
        <v>915.1296000000006</v>
      </c>
      <c r="H148" s="1">
        <f t="shared" si="85"/>
        <v>0</v>
      </c>
      <c r="I148">
        <v>60</v>
      </c>
      <c r="J148" s="64">
        <f t="shared" si="78"/>
        <v>60.000000000000014</v>
      </c>
      <c r="K148" s="117">
        <f t="shared" si="86"/>
        <v>0.00041666666666666653</v>
      </c>
      <c r="L148" s="1">
        <f t="shared" si="65"/>
        <v>46681.38552146597</v>
      </c>
      <c r="M148" s="1">
        <f t="shared" si="81"/>
        <v>9093.77640028558</v>
      </c>
      <c r="N148" s="1">
        <f t="shared" si="73"/>
        <v>21000</v>
      </c>
      <c r="O148" s="74">
        <f t="shared" si="66"/>
        <v>0.43303697144217046</v>
      </c>
      <c r="P148" s="84">
        <f t="shared" si="75"/>
        <v>4</v>
      </c>
      <c r="Q148" s="1">
        <f t="shared" si="67"/>
        <v>5.869499999999999</v>
      </c>
      <c r="R148" s="1">
        <f t="shared" si="68"/>
        <v>1428.8614977510408</v>
      </c>
      <c r="S148" s="1">
        <f t="shared" si="69"/>
        <v>9.782499999999999</v>
      </c>
      <c r="T148" s="60">
        <f t="shared" si="82"/>
        <v>11.738999999999997</v>
      </c>
      <c r="U148" s="101">
        <f t="shared" si="70"/>
        <v>21459.581151832463</v>
      </c>
      <c r="V148" s="102">
        <f t="shared" si="83"/>
        <v>8199.20436963351</v>
      </c>
      <c r="W148" s="102">
        <f t="shared" si="71"/>
        <v>17022.6</v>
      </c>
      <c r="X148" s="102">
        <f t="shared" si="72"/>
        <v>0</v>
      </c>
      <c r="Y148" s="103">
        <f t="shared" si="84"/>
        <v>0</v>
      </c>
      <c r="AB148" s="76"/>
      <c r="AC148" s="76"/>
      <c r="AD148" s="76"/>
      <c r="AE148" s="77"/>
      <c r="AF148" s="78"/>
      <c r="AG148" s="24"/>
      <c r="AH148" s="53"/>
      <c r="AI148" s="53"/>
      <c r="AJ148" s="53"/>
      <c r="AK148" s="53"/>
      <c r="AL148" s="53"/>
      <c r="AM148" s="1"/>
      <c r="AN148" s="1"/>
    </row>
    <row r="149" spans="2:40" ht="12.75">
      <c r="B149" s="122">
        <f t="shared" si="79"/>
        <v>39225.043190905046</v>
      </c>
      <c r="C149">
        <v>1</v>
      </c>
      <c r="D149" s="2">
        <v>0</v>
      </c>
      <c r="E149">
        <v>0.6</v>
      </c>
      <c r="F149">
        <f t="shared" si="77"/>
        <v>73.09999999999998</v>
      </c>
      <c r="G149" s="1">
        <f t="shared" si="80"/>
        <v>915.1296000000006</v>
      </c>
      <c r="H149" s="1">
        <f t="shared" si="85"/>
        <v>0</v>
      </c>
      <c r="I149">
        <v>60</v>
      </c>
      <c r="J149" s="64">
        <f t="shared" si="78"/>
        <v>60</v>
      </c>
      <c r="K149" s="117">
        <f t="shared" si="86"/>
        <v>0.0004166666666666667</v>
      </c>
      <c r="L149" s="1">
        <f t="shared" si="65"/>
        <v>62557.92032146597</v>
      </c>
      <c r="M149" s="1">
        <f t="shared" si="81"/>
        <v>12186.607854831034</v>
      </c>
      <c r="N149" s="1">
        <f t="shared" si="73"/>
        <v>21000</v>
      </c>
      <c r="O149" s="74">
        <f t="shared" si="66"/>
        <v>0.5803146597538588</v>
      </c>
      <c r="P149" s="84">
        <f t="shared" si="75"/>
        <v>5</v>
      </c>
      <c r="Q149" s="1">
        <f t="shared" si="67"/>
        <v>7.336875000000001</v>
      </c>
      <c r="R149" s="1">
        <f t="shared" si="68"/>
        <v>1436.1983727510408</v>
      </c>
      <c r="S149" s="1">
        <f t="shared" si="69"/>
        <v>12.228125000000002</v>
      </c>
      <c r="T149" s="60">
        <f t="shared" si="82"/>
        <v>14.673750000000002</v>
      </c>
      <c r="U149" s="101">
        <f t="shared" si="70"/>
        <v>21459.581151832463</v>
      </c>
      <c r="V149" s="102">
        <f t="shared" si="83"/>
        <v>8199.20436963351</v>
      </c>
      <c r="W149" s="102">
        <f t="shared" si="71"/>
        <v>17022.6</v>
      </c>
      <c r="X149" s="102">
        <f t="shared" si="72"/>
        <v>0</v>
      </c>
      <c r="Y149" s="103">
        <f t="shared" si="84"/>
        <v>15876.5348</v>
      </c>
      <c r="AB149" s="76"/>
      <c r="AC149" s="76"/>
      <c r="AD149" s="76"/>
      <c r="AE149" s="77"/>
      <c r="AF149" s="78"/>
      <c r="AG149" s="24"/>
      <c r="AH149" s="53"/>
      <c r="AI149" s="53"/>
      <c r="AJ149" s="53"/>
      <c r="AK149" s="53"/>
      <c r="AL149" s="53"/>
      <c r="AM149" s="1"/>
      <c r="AN149" s="1"/>
    </row>
    <row r="150" spans="2:40" ht="12.75">
      <c r="B150" s="122">
        <f t="shared" si="79"/>
        <v>39225.043607571715</v>
      </c>
      <c r="C150">
        <v>1</v>
      </c>
      <c r="D150" s="2">
        <v>0</v>
      </c>
      <c r="E150">
        <v>0.6</v>
      </c>
      <c r="F150">
        <f t="shared" si="77"/>
        <v>73.69999999999997</v>
      </c>
      <c r="G150" s="1">
        <f t="shared" si="80"/>
        <v>915.1296000000006</v>
      </c>
      <c r="H150" s="1">
        <f t="shared" si="85"/>
        <v>0</v>
      </c>
      <c r="I150">
        <v>60</v>
      </c>
      <c r="J150" s="64">
        <f t="shared" si="78"/>
        <v>60</v>
      </c>
      <c r="K150" s="117">
        <f t="shared" si="86"/>
        <v>0.0004166666666666667</v>
      </c>
      <c r="L150" s="1">
        <f t="shared" si="65"/>
        <v>78433.92032146596</v>
      </c>
      <c r="M150" s="1">
        <f t="shared" si="81"/>
        <v>15279.335127558305</v>
      </c>
      <c r="N150" s="1">
        <f t="shared" si="73"/>
        <v>21000</v>
      </c>
      <c r="O150" s="74">
        <f t="shared" si="66"/>
        <v>0.7275873870265859</v>
      </c>
      <c r="P150" s="84">
        <f t="shared" si="75"/>
        <v>6</v>
      </c>
      <c r="Q150" s="1">
        <f t="shared" si="67"/>
        <v>8.80425</v>
      </c>
      <c r="R150" s="1">
        <f t="shared" si="68"/>
        <v>1445.0026227510407</v>
      </c>
      <c r="S150" s="1">
        <f t="shared" si="69"/>
        <v>14.67375</v>
      </c>
      <c r="T150" s="60">
        <f t="shared" si="82"/>
        <v>17.6085</v>
      </c>
      <c r="U150" s="101">
        <f t="shared" si="70"/>
        <v>21459.581151832463</v>
      </c>
      <c r="V150" s="102">
        <f t="shared" si="83"/>
        <v>8199.20436963351</v>
      </c>
      <c r="W150" s="102">
        <f t="shared" si="71"/>
        <v>17022.6</v>
      </c>
      <c r="X150" s="102">
        <f t="shared" si="72"/>
        <v>0</v>
      </c>
      <c r="Y150" s="103">
        <f t="shared" si="84"/>
        <v>31752.5348</v>
      </c>
      <c r="AB150" s="76"/>
      <c r="AC150" s="76"/>
      <c r="AD150" s="76"/>
      <c r="AE150" s="77"/>
      <c r="AF150" s="78"/>
      <c r="AG150" s="24"/>
      <c r="AH150" s="53"/>
      <c r="AI150" s="53"/>
      <c r="AJ150" s="53"/>
      <c r="AK150" s="53"/>
      <c r="AL150" s="53"/>
      <c r="AM150" s="1"/>
      <c r="AN150" s="1"/>
    </row>
    <row r="151" spans="2:40" ht="12.75">
      <c r="B151" s="122">
        <f t="shared" si="79"/>
        <v>39225.044024238385</v>
      </c>
      <c r="C151">
        <v>2</v>
      </c>
      <c r="D151" s="2">
        <v>0</v>
      </c>
      <c r="E151">
        <v>0.6</v>
      </c>
      <c r="F151">
        <f t="shared" si="77"/>
        <v>74.29999999999997</v>
      </c>
      <c r="G151" s="1">
        <f t="shared" si="80"/>
        <v>915.1296000000006</v>
      </c>
      <c r="H151" s="1">
        <f t="shared" si="85"/>
        <v>0</v>
      </c>
      <c r="I151">
        <v>60</v>
      </c>
      <c r="J151" s="64">
        <f t="shared" si="78"/>
        <v>59.99999999999999</v>
      </c>
      <c r="K151" s="117">
        <f t="shared" si="86"/>
        <v>0.0004166666666666667</v>
      </c>
      <c r="L151" s="1">
        <f t="shared" si="65"/>
        <v>94310.45512146597</v>
      </c>
      <c r="M151" s="1">
        <f t="shared" si="81"/>
        <v>18372.16658210376</v>
      </c>
      <c r="N151" s="1">
        <f t="shared" si="73"/>
        <v>21000</v>
      </c>
      <c r="O151" s="74">
        <f t="shared" si="66"/>
        <v>0.8748650753382743</v>
      </c>
      <c r="P151" s="84">
        <f t="shared" si="75"/>
        <v>7</v>
      </c>
      <c r="Q151" s="1">
        <f t="shared" si="67"/>
        <v>10.271625</v>
      </c>
      <c r="R151" s="1">
        <f t="shared" si="68"/>
        <v>1455.2742477510408</v>
      </c>
      <c r="S151" s="1">
        <f t="shared" si="69"/>
        <v>17.119375</v>
      </c>
      <c r="T151" s="60">
        <f t="shared" si="82"/>
        <v>20.54325</v>
      </c>
      <c r="U151" s="101">
        <f t="shared" si="70"/>
        <v>21459.581151832463</v>
      </c>
      <c r="V151" s="102">
        <f t="shared" si="83"/>
        <v>8199.20436963351</v>
      </c>
      <c r="W151" s="102">
        <f t="shared" si="71"/>
        <v>17022.6</v>
      </c>
      <c r="X151" s="102">
        <f t="shared" si="72"/>
        <v>0</v>
      </c>
      <c r="Y151" s="103">
        <f t="shared" si="84"/>
        <v>47629.0696</v>
      </c>
      <c r="AB151" s="76"/>
      <c r="AC151" s="76"/>
      <c r="AD151" s="76"/>
      <c r="AE151" s="77"/>
      <c r="AF151" s="78"/>
      <c r="AG151" s="24"/>
      <c r="AH151" s="53"/>
      <c r="AI151" s="53"/>
      <c r="AJ151" s="53"/>
      <c r="AK151" s="53"/>
      <c r="AL151" s="53"/>
      <c r="AM151" s="1"/>
      <c r="AN151" s="1"/>
    </row>
    <row r="152" spans="2:40" ht="12.75">
      <c r="B152" s="122">
        <f t="shared" si="79"/>
        <v>39225.044440905054</v>
      </c>
      <c r="C152">
        <v>0</v>
      </c>
      <c r="D152" s="2">
        <v>0</v>
      </c>
      <c r="E152">
        <v>0.6</v>
      </c>
      <c r="F152">
        <f t="shared" si="77"/>
        <v>74.89999999999996</v>
      </c>
      <c r="G152" s="1">
        <f t="shared" si="80"/>
        <v>915.1296000000006</v>
      </c>
      <c r="H152" s="1">
        <f t="shared" si="85"/>
        <v>0</v>
      </c>
      <c r="I152">
        <v>60</v>
      </c>
      <c r="J152" s="64">
        <f t="shared" si="78"/>
        <v>60</v>
      </c>
      <c r="K152" s="117">
        <f t="shared" si="86"/>
        <v>0.0004166666666666667</v>
      </c>
      <c r="L152" s="1">
        <f t="shared" si="65"/>
        <v>78433.38552146597</v>
      </c>
      <c r="M152" s="1">
        <f t="shared" si="81"/>
        <v>15279.230945740124</v>
      </c>
      <c r="N152" s="1">
        <f t="shared" si="73"/>
        <v>21000</v>
      </c>
      <c r="O152" s="74">
        <f t="shared" si="66"/>
        <v>0.727582425987625</v>
      </c>
      <c r="P152" s="84">
        <f t="shared" si="75"/>
        <v>6</v>
      </c>
      <c r="Q152" s="1">
        <f t="shared" si="67"/>
        <v>8.80425</v>
      </c>
      <c r="R152" s="1">
        <f t="shared" si="68"/>
        <v>1464.0784977510407</v>
      </c>
      <c r="S152" s="1">
        <f t="shared" si="69"/>
        <v>14.67375</v>
      </c>
      <c r="T152" s="60">
        <f t="shared" si="82"/>
        <v>17.6085</v>
      </c>
      <c r="U152" s="101">
        <f t="shared" si="70"/>
        <v>21459.581151832463</v>
      </c>
      <c r="V152" s="102">
        <f t="shared" si="83"/>
        <v>8199.20436963351</v>
      </c>
      <c r="W152" s="102">
        <f t="shared" si="71"/>
        <v>17022.6</v>
      </c>
      <c r="X152" s="102">
        <f t="shared" si="72"/>
        <v>0</v>
      </c>
      <c r="Y152" s="103">
        <f t="shared" si="84"/>
        <v>31752</v>
      </c>
      <c r="AB152" s="76"/>
      <c r="AC152" s="76"/>
      <c r="AD152" s="76"/>
      <c r="AE152" s="77"/>
      <c r="AF152" s="78"/>
      <c r="AG152" s="24"/>
      <c r="AH152" s="53"/>
      <c r="AI152" s="53"/>
      <c r="AJ152" s="53"/>
      <c r="AK152" s="53"/>
      <c r="AL152" s="53"/>
      <c r="AM152" s="1"/>
      <c r="AN152" s="1"/>
    </row>
    <row r="153" spans="2:40" ht="12.75">
      <c r="B153" s="122">
        <f t="shared" si="79"/>
        <v>39225.044857571724</v>
      </c>
      <c r="C153">
        <v>0</v>
      </c>
      <c r="D153" s="2">
        <v>0</v>
      </c>
      <c r="E153">
        <v>0.6</v>
      </c>
      <c r="F153">
        <f aca="true" t="shared" si="87" ref="F153:F164">E153+F152</f>
        <v>75.49999999999996</v>
      </c>
      <c r="G153" s="1">
        <f t="shared" si="80"/>
        <v>915.1296000000006</v>
      </c>
      <c r="H153" s="1">
        <f t="shared" si="85"/>
        <v>0</v>
      </c>
      <c r="I153">
        <v>60</v>
      </c>
      <c r="J153" s="64">
        <f aca="true" t="shared" si="88" ref="J153:J164">IF(M153&lt;=N153,M153/L153*308,N153/L153*308)</f>
        <v>60.000000000000014</v>
      </c>
      <c r="K153" s="117">
        <f t="shared" si="86"/>
        <v>0.00041666666666666653</v>
      </c>
      <c r="L153" s="1">
        <f t="shared" si="65"/>
        <v>46681.38552146597</v>
      </c>
      <c r="M153" s="1">
        <f t="shared" si="81"/>
        <v>9093.77640028558</v>
      </c>
      <c r="N153" s="1">
        <f t="shared" si="73"/>
        <v>21000</v>
      </c>
      <c r="O153" s="74">
        <f t="shared" si="66"/>
        <v>0.43303697144217046</v>
      </c>
      <c r="P153" s="84">
        <f t="shared" si="75"/>
        <v>4</v>
      </c>
      <c r="Q153" s="1">
        <f t="shared" si="67"/>
        <v>5.869499999999999</v>
      </c>
      <c r="R153" s="1">
        <f t="shared" si="68"/>
        <v>1469.9479977510407</v>
      </c>
      <c r="S153" s="1">
        <f t="shared" si="69"/>
        <v>9.782499999999999</v>
      </c>
      <c r="T153" s="60">
        <f t="shared" si="82"/>
        <v>11.738999999999997</v>
      </c>
      <c r="U153" s="101">
        <f t="shared" si="70"/>
        <v>21459.581151832463</v>
      </c>
      <c r="V153" s="102">
        <f t="shared" si="83"/>
        <v>8199.20436963351</v>
      </c>
      <c r="W153" s="102">
        <f t="shared" si="71"/>
        <v>17022.6</v>
      </c>
      <c r="X153" s="102">
        <f t="shared" si="72"/>
        <v>0</v>
      </c>
      <c r="Y153" s="103">
        <f t="shared" si="84"/>
        <v>0</v>
      </c>
      <c r="AB153" s="76"/>
      <c r="AC153" s="76"/>
      <c r="AD153" s="76"/>
      <c r="AE153" s="77"/>
      <c r="AF153" s="78"/>
      <c r="AG153" s="24"/>
      <c r="AH153" s="53"/>
      <c r="AI153" s="53"/>
      <c r="AJ153" s="53"/>
      <c r="AK153" s="53"/>
      <c r="AL153" s="53"/>
      <c r="AM153" s="1"/>
      <c r="AN153" s="1"/>
    </row>
    <row r="154" spans="2:40" ht="12.75">
      <c r="B154" s="122">
        <f t="shared" si="79"/>
        <v>39225.04527423839</v>
      </c>
      <c r="C154">
        <v>0</v>
      </c>
      <c r="D154" s="2">
        <v>0</v>
      </c>
      <c r="E154">
        <v>0.6</v>
      </c>
      <c r="F154">
        <f t="shared" si="87"/>
        <v>76.09999999999995</v>
      </c>
      <c r="G154" s="1">
        <f t="shared" si="80"/>
        <v>915.1296000000006</v>
      </c>
      <c r="H154" s="1">
        <f t="shared" si="85"/>
        <v>0</v>
      </c>
      <c r="I154">
        <v>60</v>
      </c>
      <c r="J154" s="64">
        <f t="shared" si="88"/>
        <v>60.000000000000014</v>
      </c>
      <c r="K154" s="117">
        <f t="shared" si="86"/>
        <v>0.00041666666666666653</v>
      </c>
      <c r="L154" s="1">
        <f t="shared" si="65"/>
        <v>46681.38552146597</v>
      </c>
      <c r="M154" s="1">
        <f t="shared" si="81"/>
        <v>9093.77640028558</v>
      </c>
      <c r="N154" s="1">
        <f t="shared" si="73"/>
        <v>21000</v>
      </c>
      <c r="O154" s="74">
        <f t="shared" si="66"/>
        <v>0.43303697144217046</v>
      </c>
      <c r="P154" s="84">
        <f t="shared" si="75"/>
        <v>4</v>
      </c>
      <c r="Q154" s="1">
        <f t="shared" si="67"/>
        <v>5.869499999999999</v>
      </c>
      <c r="R154" s="1">
        <f t="shared" si="68"/>
        <v>1475.8174977510407</v>
      </c>
      <c r="S154" s="1">
        <f t="shared" si="69"/>
        <v>9.782499999999999</v>
      </c>
      <c r="T154" s="60">
        <f t="shared" si="82"/>
        <v>11.738999999999997</v>
      </c>
      <c r="U154" s="101">
        <f t="shared" si="70"/>
        <v>21459.581151832463</v>
      </c>
      <c r="V154" s="102">
        <f t="shared" si="83"/>
        <v>8199.20436963351</v>
      </c>
      <c r="W154" s="102">
        <f t="shared" si="71"/>
        <v>17022.6</v>
      </c>
      <c r="X154" s="102">
        <f t="shared" si="72"/>
        <v>0</v>
      </c>
      <c r="Y154" s="103">
        <f t="shared" si="84"/>
        <v>0</v>
      </c>
      <c r="AB154" s="76"/>
      <c r="AC154" s="76"/>
      <c r="AD154" s="76"/>
      <c r="AE154" s="77"/>
      <c r="AF154" s="78"/>
      <c r="AG154" s="24"/>
      <c r="AH154" s="53"/>
      <c r="AI154" s="53"/>
      <c r="AJ154" s="53"/>
      <c r="AK154" s="53"/>
      <c r="AL154" s="53"/>
      <c r="AM154" s="1"/>
      <c r="AN154" s="1"/>
    </row>
    <row r="155" spans="2:40" ht="12.75">
      <c r="B155" s="122">
        <f t="shared" si="79"/>
        <v>39225.04569090506</v>
      </c>
      <c r="C155">
        <v>1</v>
      </c>
      <c r="D155" s="2">
        <v>0</v>
      </c>
      <c r="E155">
        <v>0.6</v>
      </c>
      <c r="F155">
        <f t="shared" si="87"/>
        <v>76.69999999999995</v>
      </c>
      <c r="G155" s="1">
        <f t="shared" si="80"/>
        <v>915.1296000000006</v>
      </c>
      <c r="H155" s="1">
        <f t="shared" si="85"/>
        <v>0</v>
      </c>
      <c r="I155">
        <v>60</v>
      </c>
      <c r="J155" s="64">
        <f t="shared" si="88"/>
        <v>60</v>
      </c>
      <c r="K155" s="117">
        <f t="shared" si="86"/>
        <v>0.0004166666666666667</v>
      </c>
      <c r="L155" s="1">
        <f t="shared" si="65"/>
        <v>62557.92032146597</v>
      </c>
      <c r="M155" s="1">
        <f t="shared" si="81"/>
        <v>12186.607854831034</v>
      </c>
      <c r="N155" s="1">
        <f t="shared" si="73"/>
        <v>21000</v>
      </c>
      <c r="O155" s="74">
        <f t="shared" si="66"/>
        <v>0.5803146597538588</v>
      </c>
      <c r="P155" s="84">
        <f t="shared" si="75"/>
        <v>5</v>
      </c>
      <c r="Q155" s="1">
        <f t="shared" si="67"/>
        <v>7.336875000000001</v>
      </c>
      <c r="R155" s="1">
        <f t="shared" si="68"/>
        <v>1483.1543727510407</v>
      </c>
      <c r="S155" s="1">
        <f t="shared" si="69"/>
        <v>12.228125000000002</v>
      </c>
      <c r="T155" s="60">
        <f t="shared" si="82"/>
        <v>14.673750000000002</v>
      </c>
      <c r="U155" s="101">
        <f t="shared" si="70"/>
        <v>21459.581151832463</v>
      </c>
      <c r="V155" s="102">
        <f t="shared" si="83"/>
        <v>8199.20436963351</v>
      </c>
      <c r="W155" s="102">
        <f t="shared" si="71"/>
        <v>17022.6</v>
      </c>
      <c r="X155" s="102">
        <f t="shared" si="72"/>
        <v>0</v>
      </c>
      <c r="Y155" s="103">
        <f t="shared" si="84"/>
        <v>15876.5348</v>
      </c>
      <c r="AB155" s="76"/>
      <c r="AC155" s="76"/>
      <c r="AD155" s="76"/>
      <c r="AE155" s="77"/>
      <c r="AF155" s="78"/>
      <c r="AG155" s="24"/>
      <c r="AH155" s="53"/>
      <c r="AI155" s="53"/>
      <c r="AJ155" s="53"/>
      <c r="AK155" s="53"/>
      <c r="AL155" s="53"/>
      <c r="AM155" s="1"/>
      <c r="AN155" s="1"/>
    </row>
    <row r="156" spans="2:40" ht="12.75">
      <c r="B156" s="122">
        <f t="shared" si="79"/>
        <v>39225.04610757173</v>
      </c>
      <c r="C156">
        <v>0</v>
      </c>
      <c r="D156" s="2">
        <v>0</v>
      </c>
      <c r="E156">
        <v>0.6</v>
      </c>
      <c r="F156">
        <f t="shared" si="87"/>
        <v>77.29999999999994</v>
      </c>
      <c r="G156" s="1">
        <f t="shared" si="80"/>
        <v>915.1296000000006</v>
      </c>
      <c r="H156" s="1">
        <f t="shared" si="85"/>
        <v>0</v>
      </c>
      <c r="I156">
        <v>60</v>
      </c>
      <c r="J156" s="64">
        <f t="shared" si="88"/>
        <v>60</v>
      </c>
      <c r="K156" s="117">
        <f t="shared" si="86"/>
        <v>0.0004166666666666667</v>
      </c>
      <c r="L156" s="1">
        <f t="shared" si="65"/>
        <v>62557.38552146597</v>
      </c>
      <c r="M156" s="1">
        <f t="shared" si="81"/>
        <v>12186.503673012852</v>
      </c>
      <c r="N156" s="1">
        <f t="shared" si="73"/>
        <v>21000</v>
      </c>
      <c r="O156" s="74">
        <f t="shared" si="66"/>
        <v>0.5803096987148977</v>
      </c>
      <c r="P156" s="84">
        <f t="shared" si="75"/>
        <v>5</v>
      </c>
      <c r="Q156" s="1">
        <f t="shared" si="67"/>
        <v>7.336875000000001</v>
      </c>
      <c r="R156" s="1">
        <f t="shared" si="68"/>
        <v>1490.4912477510406</v>
      </c>
      <c r="S156" s="1">
        <f t="shared" si="69"/>
        <v>12.228125000000002</v>
      </c>
      <c r="T156" s="60">
        <f t="shared" si="82"/>
        <v>14.673750000000002</v>
      </c>
      <c r="U156" s="101">
        <f t="shared" si="70"/>
        <v>21459.581151832463</v>
      </c>
      <c r="V156" s="102">
        <f t="shared" si="83"/>
        <v>8199.20436963351</v>
      </c>
      <c r="W156" s="102">
        <f t="shared" si="71"/>
        <v>17022.6</v>
      </c>
      <c r="X156" s="102">
        <f t="shared" si="72"/>
        <v>0</v>
      </c>
      <c r="Y156" s="103">
        <f t="shared" si="84"/>
        <v>15876</v>
      </c>
      <c r="AB156" s="76"/>
      <c r="AC156" s="76"/>
      <c r="AD156" s="76"/>
      <c r="AE156" s="77"/>
      <c r="AF156" s="78"/>
      <c r="AG156" s="24"/>
      <c r="AH156" s="53"/>
      <c r="AI156" s="53"/>
      <c r="AJ156" s="53"/>
      <c r="AK156" s="53"/>
      <c r="AL156" s="53"/>
      <c r="AM156" s="1"/>
      <c r="AN156" s="1"/>
    </row>
    <row r="157" spans="2:40" ht="12.75">
      <c r="B157" s="122">
        <f t="shared" si="79"/>
        <v>39225.0465242384</v>
      </c>
      <c r="C157">
        <v>0</v>
      </c>
      <c r="D157" s="2">
        <v>0</v>
      </c>
      <c r="E157">
        <v>0.6</v>
      </c>
      <c r="F157">
        <f t="shared" si="87"/>
        <v>77.89999999999993</v>
      </c>
      <c r="G157" s="1">
        <f t="shared" si="80"/>
        <v>915.1296000000006</v>
      </c>
      <c r="H157" s="1">
        <f t="shared" si="85"/>
        <v>0</v>
      </c>
      <c r="I157">
        <v>60</v>
      </c>
      <c r="J157" s="64">
        <f t="shared" si="88"/>
        <v>60.000000000000014</v>
      </c>
      <c r="K157" s="117">
        <f t="shared" si="86"/>
        <v>0.00041666666666666653</v>
      </c>
      <c r="L157" s="1">
        <f t="shared" si="65"/>
        <v>46681.38552146597</v>
      </c>
      <c r="M157" s="1">
        <f t="shared" si="81"/>
        <v>9093.77640028558</v>
      </c>
      <c r="N157" s="1">
        <f t="shared" si="73"/>
        <v>21000</v>
      </c>
      <c r="O157" s="74">
        <f t="shared" si="66"/>
        <v>0.43303697144217046</v>
      </c>
      <c r="P157" s="84">
        <f t="shared" si="75"/>
        <v>4</v>
      </c>
      <c r="Q157" s="1">
        <f t="shared" si="67"/>
        <v>5.869499999999999</v>
      </c>
      <c r="R157" s="1">
        <f t="shared" si="68"/>
        <v>1496.3607477510407</v>
      </c>
      <c r="S157" s="1">
        <f t="shared" si="69"/>
        <v>9.782499999999999</v>
      </c>
      <c r="T157" s="60">
        <f t="shared" si="82"/>
        <v>11.738999999999997</v>
      </c>
      <c r="U157" s="101">
        <f t="shared" si="70"/>
        <v>21459.581151832463</v>
      </c>
      <c r="V157" s="102">
        <f t="shared" si="83"/>
        <v>8199.20436963351</v>
      </c>
      <c r="W157" s="102">
        <f t="shared" si="71"/>
        <v>17022.6</v>
      </c>
      <c r="X157" s="102">
        <f t="shared" si="72"/>
        <v>0</v>
      </c>
      <c r="Y157" s="103">
        <f t="shared" si="84"/>
        <v>0</v>
      </c>
      <c r="AB157" s="76"/>
      <c r="AC157" s="76"/>
      <c r="AD157" s="76"/>
      <c r="AE157" s="77"/>
      <c r="AF157" s="78"/>
      <c r="AG157" s="24"/>
      <c r="AH157" s="53"/>
      <c r="AI157" s="53"/>
      <c r="AJ157" s="53"/>
      <c r="AK157" s="53"/>
      <c r="AL157" s="53"/>
      <c r="AM157" s="1"/>
      <c r="AN157" s="1"/>
    </row>
    <row r="158" spans="2:40" ht="12.75">
      <c r="B158" s="122">
        <f t="shared" si="79"/>
        <v>39225.04694090507</v>
      </c>
      <c r="C158">
        <v>0</v>
      </c>
      <c r="D158" s="2">
        <v>-0.004</v>
      </c>
      <c r="E158">
        <v>0.6</v>
      </c>
      <c r="F158">
        <f t="shared" si="87"/>
        <v>78.49999999999993</v>
      </c>
      <c r="G158" s="1">
        <f t="shared" si="80"/>
        <v>902.4576000000005</v>
      </c>
      <c r="H158" s="1">
        <f t="shared" si="85"/>
        <v>0</v>
      </c>
      <c r="I158">
        <v>60</v>
      </c>
      <c r="J158" s="64">
        <f t="shared" si="88"/>
        <v>60</v>
      </c>
      <c r="K158" s="117">
        <f t="shared" si="86"/>
        <v>0.0004166666666666667</v>
      </c>
      <c r="L158" s="1">
        <f t="shared" si="65"/>
        <v>1214.4255214659715</v>
      </c>
      <c r="M158" s="1">
        <f t="shared" si="81"/>
        <v>236.57640028557887</v>
      </c>
      <c r="N158" s="1">
        <f t="shared" si="73"/>
        <v>21000</v>
      </c>
      <c r="O158" s="74">
        <f t="shared" si="66"/>
        <v>0.011265542870741852</v>
      </c>
      <c r="P158" s="84">
        <f t="shared" si="75"/>
        <v>1</v>
      </c>
      <c r="Q158" s="1">
        <f t="shared" si="67"/>
        <v>1.467375</v>
      </c>
      <c r="R158" s="1">
        <f t="shared" si="68"/>
        <v>1497.8281227510406</v>
      </c>
      <c r="S158" s="1">
        <f t="shared" si="69"/>
        <v>2.445625</v>
      </c>
      <c r="T158" s="60">
        <f t="shared" si="82"/>
        <v>2.93475</v>
      </c>
      <c r="U158" s="101">
        <f t="shared" si="70"/>
        <v>21459.581151832463</v>
      </c>
      <c r="V158" s="102">
        <f t="shared" si="83"/>
        <v>8199.20436963351</v>
      </c>
      <c r="W158" s="102">
        <f t="shared" si="71"/>
        <v>17022.6</v>
      </c>
      <c r="X158" s="102">
        <f t="shared" si="72"/>
        <v>-45466.96</v>
      </c>
      <c r="Y158" s="103">
        <f t="shared" si="84"/>
        <v>0</v>
      </c>
      <c r="AB158" s="76"/>
      <c r="AC158" s="76"/>
      <c r="AD158" s="76"/>
      <c r="AE158" s="77"/>
      <c r="AF158" s="78"/>
      <c r="AG158" s="24"/>
      <c r="AH158" s="53"/>
      <c r="AI158" s="53"/>
      <c r="AJ158" s="53"/>
      <c r="AK158" s="53"/>
      <c r="AL158" s="53"/>
      <c r="AM158" s="1"/>
      <c r="AN158" s="1"/>
    </row>
    <row r="159" spans="2:40" ht="12.75">
      <c r="B159" s="122">
        <f t="shared" si="79"/>
        <v>39225.04735757174</v>
      </c>
      <c r="C159">
        <v>0</v>
      </c>
      <c r="D159" s="2">
        <v>-0.004</v>
      </c>
      <c r="E159">
        <v>0.6</v>
      </c>
      <c r="F159">
        <f t="shared" si="87"/>
        <v>79.09999999999992</v>
      </c>
      <c r="G159" s="1">
        <f t="shared" si="80"/>
        <v>889.7856000000005</v>
      </c>
      <c r="H159" s="1">
        <f t="shared" si="85"/>
        <v>0</v>
      </c>
      <c r="I159">
        <v>60</v>
      </c>
      <c r="J159" s="64">
        <f t="shared" si="88"/>
        <v>60</v>
      </c>
      <c r="K159" s="117">
        <f t="shared" si="86"/>
        <v>0.0004166666666666667</v>
      </c>
      <c r="L159" s="1">
        <f t="shared" si="65"/>
        <v>1214.4255214659715</v>
      </c>
      <c r="M159" s="1">
        <f t="shared" si="81"/>
        <v>236.57640028557887</v>
      </c>
      <c r="N159" s="1">
        <f t="shared" si="73"/>
        <v>21000</v>
      </c>
      <c r="O159" s="74">
        <f t="shared" si="66"/>
        <v>0.011265542870741852</v>
      </c>
      <c r="P159" s="84">
        <f t="shared" si="75"/>
        <v>1</v>
      </c>
      <c r="Q159" s="1">
        <f t="shared" si="67"/>
        <v>1.467375</v>
      </c>
      <c r="R159" s="1">
        <f t="shared" si="68"/>
        <v>1499.2954977510406</v>
      </c>
      <c r="S159" s="1">
        <f t="shared" si="69"/>
        <v>2.445625</v>
      </c>
      <c r="T159" s="60">
        <f t="shared" si="82"/>
        <v>2.93475</v>
      </c>
      <c r="U159" s="101">
        <f t="shared" si="70"/>
        <v>21459.581151832463</v>
      </c>
      <c r="V159" s="102">
        <f t="shared" si="83"/>
        <v>8199.20436963351</v>
      </c>
      <c r="W159" s="102">
        <f t="shared" si="71"/>
        <v>17022.6</v>
      </c>
      <c r="X159" s="102">
        <f t="shared" si="72"/>
        <v>-45466.96</v>
      </c>
      <c r="Y159" s="103">
        <f t="shared" si="84"/>
        <v>0</v>
      </c>
      <c r="AB159" s="76"/>
      <c r="AC159" s="76"/>
      <c r="AD159" s="76"/>
      <c r="AE159" s="77"/>
      <c r="AF159" s="78"/>
      <c r="AG159" s="24"/>
      <c r="AH159" s="53"/>
      <c r="AI159" s="53"/>
      <c r="AJ159" s="53"/>
      <c r="AK159" s="53"/>
      <c r="AL159" s="53"/>
      <c r="AM159" s="1"/>
      <c r="AN159" s="1"/>
    </row>
    <row r="160" spans="2:40" ht="12.75">
      <c r="B160" s="122">
        <f t="shared" si="79"/>
        <v>39225.04777423841</v>
      </c>
      <c r="C160">
        <v>2</v>
      </c>
      <c r="D160" s="2">
        <v>-0.004</v>
      </c>
      <c r="E160">
        <v>0.6</v>
      </c>
      <c r="F160">
        <f t="shared" si="87"/>
        <v>79.69999999999992</v>
      </c>
      <c r="G160" s="1">
        <f t="shared" si="80"/>
        <v>877.1136000000005</v>
      </c>
      <c r="H160" s="1">
        <f t="shared" si="85"/>
        <v>0</v>
      </c>
      <c r="I160">
        <v>60</v>
      </c>
      <c r="J160" s="64">
        <f t="shared" si="88"/>
        <v>59.99999999999999</v>
      </c>
      <c r="K160" s="117">
        <f t="shared" si="86"/>
        <v>0.0004166666666666667</v>
      </c>
      <c r="L160" s="1">
        <f t="shared" si="65"/>
        <v>32967.49512146597</v>
      </c>
      <c r="M160" s="1">
        <f t="shared" si="81"/>
        <v>6422.239309376487</v>
      </c>
      <c r="N160" s="1">
        <f t="shared" si="73"/>
        <v>21000</v>
      </c>
      <c r="O160" s="74">
        <f t="shared" si="66"/>
        <v>0.30582091949411844</v>
      </c>
      <c r="P160" s="84">
        <f t="shared" si="75"/>
        <v>3</v>
      </c>
      <c r="Q160" s="1">
        <f t="shared" si="67"/>
        <v>4.402125</v>
      </c>
      <c r="R160" s="1">
        <f t="shared" si="68"/>
        <v>1503.6976227510406</v>
      </c>
      <c r="S160" s="1">
        <f t="shared" si="69"/>
        <v>7.336875</v>
      </c>
      <c r="T160" s="60">
        <f t="shared" si="82"/>
        <v>8.80425</v>
      </c>
      <c r="U160" s="101">
        <f t="shared" si="70"/>
        <v>21459.581151832463</v>
      </c>
      <c r="V160" s="102">
        <f t="shared" si="83"/>
        <v>8199.20436963351</v>
      </c>
      <c r="W160" s="102">
        <f t="shared" si="71"/>
        <v>17022.6</v>
      </c>
      <c r="X160" s="102">
        <f t="shared" si="72"/>
        <v>-45466.96</v>
      </c>
      <c r="Y160" s="103">
        <f t="shared" si="84"/>
        <v>31753.0696</v>
      </c>
      <c r="AB160" s="76"/>
      <c r="AC160" s="76"/>
      <c r="AD160" s="76"/>
      <c r="AE160" s="77"/>
      <c r="AF160" s="78"/>
      <c r="AG160" s="24"/>
      <c r="AH160" s="53"/>
      <c r="AI160" s="53"/>
      <c r="AJ160" s="53"/>
      <c r="AK160" s="53"/>
      <c r="AL160" s="53"/>
      <c r="AM160" s="1"/>
      <c r="AN160" s="1"/>
    </row>
    <row r="161" spans="2:40" ht="12.75">
      <c r="B161" s="122">
        <f t="shared" si="79"/>
        <v>39225.04819090508</v>
      </c>
      <c r="C161">
        <v>2</v>
      </c>
      <c r="D161" s="2">
        <v>-0.004</v>
      </c>
      <c r="E161">
        <v>0.6</v>
      </c>
      <c r="F161">
        <f t="shared" si="87"/>
        <v>80.29999999999991</v>
      </c>
      <c r="G161" s="1">
        <f t="shared" si="80"/>
        <v>864.4416000000004</v>
      </c>
      <c r="H161" s="1">
        <f t="shared" si="85"/>
        <v>0</v>
      </c>
      <c r="I161">
        <v>60</v>
      </c>
      <c r="J161" s="64">
        <f t="shared" si="88"/>
        <v>59.99999999999999</v>
      </c>
      <c r="K161" s="117">
        <f t="shared" si="86"/>
        <v>0.0004166666666666667</v>
      </c>
      <c r="L161" s="1">
        <f t="shared" si="65"/>
        <v>64719.495121465974</v>
      </c>
      <c r="M161" s="1">
        <f t="shared" si="81"/>
        <v>12607.693854831034</v>
      </c>
      <c r="N161" s="1">
        <f t="shared" si="73"/>
        <v>21000</v>
      </c>
      <c r="O161" s="74">
        <f t="shared" si="66"/>
        <v>0.600366374039573</v>
      </c>
      <c r="P161" s="84">
        <f t="shared" si="75"/>
        <v>5</v>
      </c>
      <c r="Q161" s="1">
        <f t="shared" si="67"/>
        <v>7.336875000000001</v>
      </c>
      <c r="R161" s="1">
        <f t="shared" si="68"/>
        <v>1511.0344977510406</v>
      </c>
      <c r="S161" s="1">
        <f t="shared" si="69"/>
        <v>12.228125000000002</v>
      </c>
      <c r="T161" s="60">
        <f t="shared" si="82"/>
        <v>14.673750000000002</v>
      </c>
      <c r="U161" s="101">
        <f t="shared" si="70"/>
        <v>21459.581151832463</v>
      </c>
      <c r="V161" s="102">
        <f t="shared" si="83"/>
        <v>8199.20436963351</v>
      </c>
      <c r="W161" s="102">
        <f t="shared" si="71"/>
        <v>17022.6</v>
      </c>
      <c r="X161" s="102">
        <f t="shared" si="72"/>
        <v>-45466.96</v>
      </c>
      <c r="Y161" s="103">
        <f t="shared" si="84"/>
        <v>63505.0696</v>
      </c>
      <c r="AB161" s="76"/>
      <c r="AC161" s="76"/>
      <c r="AD161" s="76"/>
      <c r="AE161" s="77"/>
      <c r="AF161" s="78"/>
      <c r="AG161" s="24"/>
      <c r="AH161" s="53"/>
      <c r="AI161" s="53"/>
      <c r="AJ161" s="53"/>
      <c r="AK161" s="53"/>
      <c r="AL161" s="53"/>
      <c r="AM161" s="1"/>
      <c r="AN161" s="1"/>
    </row>
    <row r="162" spans="2:40" ht="12.75">
      <c r="B162" s="122">
        <f t="shared" si="79"/>
        <v>39225.04860757175</v>
      </c>
      <c r="C162">
        <v>0</v>
      </c>
      <c r="D162" s="2">
        <v>-0.004</v>
      </c>
      <c r="E162">
        <v>0.6</v>
      </c>
      <c r="F162">
        <f t="shared" si="87"/>
        <v>80.8999999999999</v>
      </c>
      <c r="G162" s="1">
        <f t="shared" si="80"/>
        <v>851.7696000000004</v>
      </c>
      <c r="H162" s="1">
        <f t="shared" si="85"/>
        <v>0</v>
      </c>
      <c r="I162">
        <v>60</v>
      </c>
      <c r="J162" s="64">
        <f t="shared" si="88"/>
        <v>60</v>
      </c>
      <c r="K162" s="117">
        <f t="shared" si="86"/>
        <v>0.0004166666666666667</v>
      </c>
      <c r="L162" s="1">
        <f t="shared" si="65"/>
        <v>32966.42552146597</v>
      </c>
      <c r="M162" s="1">
        <f t="shared" si="81"/>
        <v>6422.0309457401245</v>
      </c>
      <c r="N162" s="1">
        <f t="shared" si="73"/>
        <v>21000</v>
      </c>
      <c r="O162" s="74">
        <f t="shared" si="66"/>
        <v>0.3058109974161964</v>
      </c>
      <c r="P162" s="84">
        <f t="shared" si="75"/>
        <v>3</v>
      </c>
      <c r="Q162" s="1">
        <f t="shared" si="67"/>
        <v>4.402125</v>
      </c>
      <c r="R162" s="1">
        <f t="shared" si="68"/>
        <v>1515.4366227510407</v>
      </c>
      <c r="S162" s="1">
        <f t="shared" si="69"/>
        <v>7.336875</v>
      </c>
      <c r="T162" s="60">
        <f t="shared" si="82"/>
        <v>8.80425</v>
      </c>
      <c r="U162" s="101">
        <f t="shared" si="70"/>
        <v>21459.581151832463</v>
      </c>
      <c r="V162" s="102">
        <f t="shared" si="83"/>
        <v>8199.20436963351</v>
      </c>
      <c r="W162" s="102">
        <f t="shared" si="71"/>
        <v>17022.6</v>
      </c>
      <c r="X162" s="102">
        <f t="shared" si="72"/>
        <v>-45466.96</v>
      </c>
      <c r="Y162" s="103">
        <f t="shared" si="84"/>
        <v>31752</v>
      </c>
      <c r="AB162" s="76"/>
      <c r="AC162" s="76"/>
      <c r="AD162" s="76"/>
      <c r="AE162" s="77"/>
      <c r="AF162" s="78"/>
      <c r="AG162" s="24"/>
      <c r="AH162" s="53"/>
      <c r="AI162" s="53"/>
      <c r="AJ162" s="53"/>
      <c r="AK162" s="53"/>
      <c r="AL162" s="53"/>
      <c r="AM162" s="1"/>
      <c r="AN162" s="1"/>
    </row>
    <row r="163" spans="2:40" ht="12.75">
      <c r="B163" s="122">
        <f t="shared" si="79"/>
        <v>39225.04902423842</v>
      </c>
      <c r="C163">
        <v>0</v>
      </c>
      <c r="D163" s="2">
        <v>0</v>
      </c>
      <c r="E163">
        <v>0.6</v>
      </c>
      <c r="F163">
        <f t="shared" si="87"/>
        <v>81.4999999999999</v>
      </c>
      <c r="G163" s="1">
        <f t="shared" si="80"/>
        <v>851.7696000000004</v>
      </c>
      <c r="H163" s="1">
        <f t="shared" si="85"/>
        <v>0</v>
      </c>
      <c r="I163">
        <v>60</v>
      </c>
      <c r="J163" s="64">
        <f t="shared" si="88"/>
        <v>60.000000000000014</v>
      </c>
      <c r="K163" s="117">
        <f t="shared" si="86"/>
        <v>0.00041666666666666653</v>
      </c>
      <c r="L163" s="1">
        <f t="shared" si="65"/>
        <v>46681.38552146597</v>
      </c>
      <c r="M163" s="1">
        <f t="shared" si="81"/>
        <v>9093.77640028558</v>
      </c>
      <c r="N163" s="1">
        <f t="shared" si="73"/>
        <v>21000</v>
      </c>
      <c r="O163" s="74">
        <f t="shared" si="66"/>
        <v>0.43303697144217046</v>
      </c>
      <c r="P163" s="84">
        <f t="shared" si="75"/>
        <v>4</v>
      </c>
      <c r="Q163" s="1">
        <f t="shared" si="67"/>
        <v>5.869499999999999</v>
      </c>
      <c r="R163" s="1">
        <f t="shared" si="68"/>
        <v>1521.3061227510407</v>
      </c>
      <c r="S163" s="1">
        <f t="shared" si="69"/>
        <v>9.782499999999999</v>
      </c>
      <c r="T163" s="60">
        <f t="shared" si="82"/>
        <v>11.738999999999997</v>
      </c>
      <c r="U163" s="101">
        <f t="shared" si="70"/>
        <v>21459.581151832463</v>
      </c>
      <c r="V163" s="102">
        <f t="shared" si="83"/>
        <v>8199.20436963351</v>
      </c>
      <c r="W163" s="102">
        <f t="shared" si="71"/>
        <v>17022.6</v>
      </c>
      <c r="X163" s="102">
        <f t="shared" si="72"/>
        <v>0</v>
      </c>
      <c r="Y163" s="103">
        <f t="shared" si="84"/>
        <v>0</v>
      </c>
      <c r="AB163" s="76"/>
      <c r="AC163" s="76"/>
      <c r="AD163" s="76"/>
      <c r="AE163" s="77"/>
      <c r="AF163" s="78"/>
      <c r="AG163" s="24"/>
      <c r="AH163" s="53"/>
      <c r="AI163" s="53"/>
      <c r="AJ163" s="53"/>
      <c r="AK163" s="53"/>
      <c r="AL163" s="53"/>
      <c r="AM163" s="1"/>
      <c r="AN163" s="1"/>
    </row>
    <row r="164" spans="2:40" ht="12.75">
      <c r="B164" s="122">
        <f t="shared" si="79"/>
        <v>39225.04944090509</v>
      </c>
      <c r="C164">
        <v>0</v>
      </c>
      <c r="D164" s="2">
        <v>0</v>
      </c>
      <c r="E164">
        <v>0.6</v>
      </c>
      <c r="F164">
        <f t="shared" si="87"/>
        <v>82.0999999999999</v>
      </c>
      <c r="G164" s="1">
        <f t="shared" si="80"/>
        <v>851.7696000000004</v>
      </c>
      <c r="H164" s="1">
        <f t="shared" si="85"/>
        <v>0</v>
      </c>
      <c r="I164">
        <v>60</v>
      </c>
      <c r="J164" s="64">
        <f t="shared" si="88"/>
        <v>60.000000000000014</v>
      </c>
      <c r="K164" s="117">
        <f t="shared" si="86"/>
        <v>0.00041666666666666653</v>
      </c>
      <c r="L164" s="1">
        <f t="shared" si="65"/>
        <v>46681.38552146597</v>
      </c>
      <c r="M164" s="1">
        <f t="shared" si="81"/>
        <v>9093.77640028558</v>
      </c>
      <c r="N164" s="1">
        <f t="shared" si="73"/>
        <v>21000</v>
      </c>
      <c r="O164" s="74">
        <f t="shared" si="66"/>
        <v>0.43303697144217046</v>
      </c>
      <c r="P164" s="84">
        <f t="shared" si="75"/>
        <v>4</v>
      </c>
      <c r="Q164" s="1">
        <f t="shared" si="67"/>
        <v>5.869499999999999</v>
      </c>
      <c r="R164" s="1">
        <f t="shared" si="68"/>
        <v>1527.1756227510407</v>
      </c>
      <c r="S164" s="1">
        <f t="shared" si="69"/>
        <v>9.782499999999999</v>
      </c>
      <c r="T164" s="60">
        <f t="shared" si="82"/>
        <v>11.738999999999997</v>
      </c>
      <c r="U164" s="101">
        <f t="shared" si="70"/>
        <v>21459.581151832463</v>
      </c>
      <c r="V164" s="102">
        <f t="shared" si="83"/>
        <v>8199.20436963351</v>
      </c>
      <c r="W164" s="102">
        <f t="shared" si="71"/>
        <v>17022.6</v>
      </c>
      <c r="X164" s="102">
        <f t="shared" si="72"/>
        <v>0</v>
      </c>
      <c r="Y164" s="103">
        <f t="shared" si="84"/>
        <v>0</v>
      </c>
      <c r="AB164" s="76"/>
      <c r="AC164" s="76"/>
      <c r="AD164" s="76"/>
      <c r="AE164" s="77"/>
      <c r="AF164" s="78"/>
      <c r="AG164" s="24"/>
      <c r="AH164" s="53"/>
      <c r="AI164" s="53"/>
      <c r="AJ164" s="53"/>
      <c r="AK164" s="53"/>
      <c r="AL164" s="53"/>
      <c r="AM164" s="1"/>
      <c r="AN164" s="1"/>
    </row>
    <row r="165" spans="2:40" ht="12.75">
      <c r="B165" s="122">
        <f t="shared" si="79"/>
        <v>39225.04985757176</v>
      </c>
      <c r="C165">
        <v>0</v>
      </c>
      <c r="D165" s="2">
        <v>0</v>
      </c>
      <c r="E165">
        <v>0.6</v>
      </c>
      <c r="F165">
        <f aca="true" t="shared" si="89" ref="F165:F228">E165+F164</f>
        <v>82.69999999999989</v>
      </c>
      <c r="G165" s="1">
        <f t="shared" si="80"/>
        <v>851.7696000000004</v>
      </c>
      <c r="H165" s="1">
        <f t="shared" si="85"/>
        <v>0</v>
      </c>
      <c r="I165">
        <v>60</v>
      </c>
      <c r="J165" s="64">
        <f aca="true" t="shared" si="90" ref="J165:J228">IF(M165&lt;=N165,M165/L165*308,N165/L165*308)</f>
        <v>60.000000000000014</v>
      </c>
      <c r="K165" s="117">
        <f t="shared" si="86"/>
        <v>0.00041666666666666653</v>
      </c>
      <c r="L165" s="1">
        <f aca="true" t="shared" si="91" ref="L165:L228">SUM(U165:Y165)</f>
        <v>46681.38552146597</v>
      </c>
      <c r="M165" s="1">
        <f t="shared" si="81"/>
        <v>9093.77640028558</v>
      </c>
      <c r="N165" s="1">
        <f t="shared" si="73"/>
        <v>21000</v>
      </c>
      <c r="O165" s="74">
        <f aca="true" t="shared" si="92" ref="O165:O228">M165/N165</f>
        <v>0.43303697144217046</v>
      </c>
      <c r="P165" s="84">
        <f t="shared" si="75"/>
        <v>4</v>
      </c>
      <c r="Q165" s="1">
        <f aca="true" t="shared" si="93" ref="Q165:Q228">IF($AB$11*E165/J165*VLOOKUP($AB$10,$AA$34:$AQ$44,MATCH(P165,$AA$34:$AQ$34,),0)&gt;0,$AB$11*E165/J165*VLOOKUP($AB$10,$AA$34:$AQ$44,MATCH(P165,$AA$34:$AQ$34,),0),0)</f>
        <v>5.869499999999999</v>
      </c>
      <c r="R165" s="1">
        <f aca="true" t="shared" si="94" ref="R165:R228">Q165+R164</f>
        <v>1533.0451227510407</v>
      </c>
      <c r="S165" s="1">
        <f aca="true" t="shared" si="95" ref="S165:S228">Q165/E165</f>
        <v>9.782499999999999</v>
      </c>
      <c r="T165" s="60">
        <f t="shared" si="82"/>
        <v>11.738999999999997</v>
      </c>
      <c r="U165" s="101">
        <f aca="true" t="shared" si="96" ref="U165:U228">$AB$11*((VLOOKUP($AB$10,$AA$36:$AI$44,7,0)*VLOOKUP($AB$10,$AA$36:$AI$44,5,0)*I165*I165)/(VLOOKUP($AB$10,$AA$36:$AI$44,9,0)/VLOOKUP($AB$10,$AA$36:$AI$44,8,0))/VLOOKUP($AB$10,$AA$36:$AI$44,8,0))+((VLOOKUP($AB$12,$AA$27:$AH$33,4,0)*VLOOKUP($AB$12,$AA$27:$AH$33,5,0)*I165*I165)/(((VLOOKUP($AB$12,$AA$27:$AH$33,7,0)/2000))/((VLOOKUP($AB$12,$AA$27:$AH$33,8,0))))/VLOOKUP($AB$12,$AA$27:$AH$33,8,0))*$AE$7</f>
        <v>21459.581151832463</v>
      </c>
      <c r="V165" s="102">
        <f t="shared" si="83"/>
        <v>8199.20436963351</v>
      </c>
      <c r="W165" s="102">
        <f aca="true" t="shared" si="97" ref="W165:W228">$AB$11*(VLOOKUP($AB$10,$AA$36:$AI$44,6,0)*I165)+(VLOOKUP($AB$12,$AA$27:$AH$33,3,0)*I165)*$AE$7</f>
        <v>17022.6</v>
      </c>
      <c r="X165" s="102">
        <f aca="true" t="shared" si="98" ref="X165:X228">$AB$11*(20*D165*(VLOOKUP($AB$10,$AA$36:$AI$44,9,0)))+(20*D165*(VLOOKUP($AB$12,$AA$26:$AH$33,7,0)/2000))*$AE$7</f>
        <v>0</v>
      </c>
      <c r="Y165" s="103">
        <f t="shared" si="84"/>
        <v>0</v>
      </c>
      <c r="AB165" s="76"/>
      <c r="AC165" s="76"/>
      <c r="AD165" s="76"/>
      <c r="AE165" s="77"/>
      <c r="AF165" s="78"/>
      <c r="AG165" s="24"/>
      <c r="AH165" s="53"/>
      <c r="AI165" s="53"/>
      <c r="AJ165" s="53"/>
      <c r="AK165" s="53"/>
      <c r="AL165" s="53"/>
      <c r="AM165" s="1"/>
      <c r="AN165" s="1"/>
    </row>
    <row r="166" spans="2:40" ht="12.75">
      <c r="B166" s="122">
        <f t="shared" si="79"/>
        <v>39225.05027423843</v>
      </c>
      <c r="C166">
        <v>0</v>
      </c>
      <c r="D166" s="2">
        <v>0</v>
      </c>
      <c r="E166">
        <v>0.6</v>
      </c>
      <c r="F166">
        <f t="shared" si="89"/>
        <v>83.29999999999988</v>
      </c>
      <c r="G166" s="1">
        <f t="shared" si="80"/>
        <v>851.7696000000004</v>
      </c>
      <c r="H166" s="1">
        <f t="shared" si="85"/>
        <v>0</v>
      </c>
      <c r="I166">
        <v>60</v>
      </c>
      <c r="J166" s="64">
        <f t="shared" si="90"/>
        <v>60.000000000000014</v>
      </c>
      <c r="K166" s="117">
        <f t="shared" si="86"/>
        <v>0.00041666666666666653</v>
      </c>
      <c r="L166" s="1">
        <f t="shared" si="91"/>
        <v>46681.38552146597</v>
      </c>
      <c r="M166" s="1">
        <f t="shared" si="81"/>
        <v>9093.77640028558</v>
      </c>
      <c r="N166" s="1">
        <f t="shared" si="73"/>
        <v>21000</v>
      </c>
      <c r="O166" s="74">
        <f t="shared" si="92"/>
        <v>0.43303697144217046</v>
      </c>
      <c r="P166" s="84">
        <f t="shared" si="75"/>
        <v>4</v>
      </c>
      <c r="Q166" s="1">
        <f t="shared" si="93"/>
        <v>5.869499999999999</v>
      </c>
      <c r="R166" s="1">
        <f t="shared" si="94"/>
        <v>1538.9146227510407</v>
      </c>
      <c r="S166" s="1">
        <f t="shared" si="95"/>
        <v>9.782499999999999</v>
      </c>
      <c r="T166" s="60">
        <f t="shared" si="82"/>
        <v>11.738999999999997</v>
      </c>
      <c r="U166" s="101">
        <f t="shared" si="96"/>
        <v>21459.581151832463</v>
      </c>
      <c r="V166" s="102">
        <f t="shared" si="83"/>
        <v>8199.20436963351</v>
      </c>
      <c r="W166" s="102">
        <f t="shared" si="97"/>
        <v>17022.6</v>
      </c>
      <c r="X166" s="102">
        <f t="shared" si="98"/>
        <v>0</v>
      </c>
      <c r="Y166" s="103">
        <f t="shared" si="84"/>
        <v>0</v>
      </c>
      <c r="AB166" s="76"/>
      <c r="AC166" s="76"/>
      <c r="AD166" s="76"/>
      <c r="AE166" s="77"/>
      <c r="AF166" s="78"/>
      <c r="AG166" s="24"/>
      <c r="AH166" s="53"/>
      <c r="AI166" s="53"/>
      <c r="AJ166" s="53"/>
      <c r="AK166" s="53"/>
      <c r="AL166" s="53"/>
      <c r="AM166" s="1"/>
      <c r="AN166" s="1"/>
    </row>
    <row r="167" spans="2:40" ht="12.75">
      <c r="B167" s="122">
        <f t="shared" si="79"/>
        <v>39225.0506909051</v>
      </c>
      <c r="C167">
        <v>0</v>
      </c>
      <c r="D167" s="2">
        <v>0</v>
      </c>
      <c r="E167">
        <v>0.6</v>
      </c>
      <c r="F167">
        <f t="shared" si="89"/>
        <v>83.89999999999988</v>
      </c>
      <c r="G167" s="1">
        <f t="shared" si="80"/>
        <v>851.7696000000004</v>
      </c>
      <c r="H167" s="1">
        <f t="shared" si="85"/>
        <v>0</v>
      </c>
      <c r="I167">
        <v>60</v>
      </c>
      <c r="J167" s="64">
        <f t="shared" si="90"/>
        <v>60.000000000000014</v>
      </c>
      <c r="K167" s="117">
        <f t="shared" si="86"/>
        <v>0.00041666666666666653</v>
      </c>
      <c r="L167" s="1">
        <f t="shared" si="91"/>
        <v>46681.38552146597</v>
      </c>
      <c r="M167" s="1">
        <f t="shared" si="81"/>
        <v>9093.77640028558</v>
      </c>
      <c r="N167" s="1">
        <f t="shared" si="73"/>
        <v>21000</v>
      </c>
      <c r="O167" s="74">
        <f t="shared" si="92"/>
        <v>0.43303697144217046</v>
      </c>
      <c r="P167" s="84">
        <f t="shared" si="75"/>
        <v>4</v>
      </c>
      <c r="Q167" s="1">
        <f t="shared" si="93"/>
        <v>5.869499999999999</v>
      </c>
      <c r="R167" s="1">
        <f t="shared" si="94"/>
        <v>1544.7841227510407</v>
      </c>
      <c r="S167" s="1">
        <f t="shared" si="95"/>
        <v>9.782499999999999</v>
      </c>
      <c r="T167" s="60">
        <f t="shared" si="82"/>
        <v>11.738999999999997</v>
      </c>
      <c r="U167" s="101">
        <f t="shared" si="96"/>
        <v>21459.581151832463</v>
      </c>
      <c r="V167" s="102">
        <f t="shared" si="83"/>
        <v>8199.20436963351</v>
      </c>
      <c r="W167" s="102">
        <f t="shared" si="97"/>
        <v>17022.6</v>
      </c>
      <c r="X167" s="102">
        <f t="shared" si="98"/>
        <v>0</v>
      </c>
      <c r="Y167" s="103">
        <f t="shared" si="84"/>
        <v>0</v>
      </c>
      <c r="AB167" s="76"/>
      <c r="AC167" s="76"/>
      <c r="AD167" s="76"/>
      <c r="AE167" s="77"/>
      <c r="AF167" s="78"/>
      <c r="AG167" s="24"/>
      <c r="AH167" s="53"/>
      <c r="AI167" s="53"/>
      <c r="AJ167" s="53"/>
      <c r="AK167" s="53"/>
      <c r="AL167" s="53"/>
      <c r="AM167" s="1"/>
      <c r="AN167" s="1"/>
    </row>
    <row r="168" spans="2:40" ht="12.75">
      <c r="B168" s="122">
        <f t="shared" si="79"/>
        <v>39225.051107571766</v>
      </c>
      <c r="C168">
        <v>1</v>
      </c>
      <c r="D168" s="2">
        <v>0</v>
      </c>
      <c r="E168">
        <v>0.6</v>
      </c>
      <c r="F168">
        <f t="shared" si="89"/>
        <v>84.49999999999987</v>
      </c>
      <c r="G168" s="1">
        <f t="shared" si="80"/>
        <v>851.7696000000004</v>
      </c>
      <c r="H168" s="1">
        <f t="shared" si="85"/>
        <v>0</v>
      </c>
      <c r="I168">
        <v>60</v>
      </c>
      <c r="J168" s="64">
        <f t="shared" si="90"/>
        <v>60</v>
      </c>
      <c r="K168" s="117">
        <f t="shared" si="86"/>
        <v>0.0004166666666666667</v>
      </c>
      <c r="L168" s="1">
        <f t="shared" si="91"/>
        <v>62557.92032146597</v>
      </c>
      <c r="M168" s="1">
        <f t="shared" si="81"/>
        <v>12186.607854831034</v>
      </c>
      <c r="N168" s="1">
        <f t="shared" si="73"/>
        <v>21000</v>
      </c>
      <c r="O168" s="74">
        <f t="shared" si="92"/>
        <v>0.5803146597538588</v>
      </c>
      <c r="P168" s="84">
        <f t="shared" si="75"/>
        <v>5</v>
      </c>
      <c r="Q168" s="1">
        <f t="shared" si="93"/>
        <v>7.336875000000001</v>
      </c>
      <c r="R168" s="1">
        <f t="shared" si="94"/>
        <v>1552.1209977510407</v>
      </c>
      <c r="S168" s="1">
        <f t="shared" si="95"/>
        <v>12.228125000000002</v>
      </c>
      <c r="T168" s="60">
        <f t="shared" si="82"/>
        <v>14.673750000000002</v>
      </c>
      <c r="U168" s="101">
        <f t="shared" si="96"/>
        <v>21459.581151832463</v>
      </c>
      <c r="V168" s="102">
        <f t="shared" si="83"/>
        <v>8199.20436963351</v>
      </c>
      <c r="W168" s="102">
        <f t="shared" si="97"/>
        <v>17022.6</v>
      </c>
      <c r="X168" s="102">
        <f t="shared" si="98"/>
        <v>0</v>
      </c>
      <c r="Y168" s="103">
        <f t="shared" si="84"/>
        <v>15876.5348</v>
      </c>
      <c r="AB168" s="76"/>
      <c r="AC168" s="76"/>
      <c r="AD168" s="76"/>
      <c r="AE168" s="77"/>
      <c r="AF168" s="78"/>
      <c r="AG168" s="24"/>
      <c r="AH168" s="53"/>
      <c r="AI168" s="53"/>
      <c r="AJ168" s="53"/>
      <c r="AK168" s="53"/>
      <c r="AL168" s="53"/>
      <c r="AM168" s="1"/>
      <c r="AN168" s="1"/>
    </row>
    <row r="169" spans="2:40" ht="12.75">
      <c r="B169" s="122">
        <f t="shared" si="79"/>
        <v>39225.051524238435</v>
      </c>
      <c r="C169">
        <v>1</v>
      </c>
      <c r="D169" s="2">
        <v>0</v>
      </c>
      <c r="E169">
        <v>0.6</v>
      </c>
      <c r="F169">
        <f t="shared" si="89"/>
        <v>85.09999999999987</v>
      </c>
      <c r="G169" s="1">
        <f t="shared" si="80"/>
        <v>851.7696000000004</v>
      </c>
      <c r="H169" s="1">
        <f t="shared" si="85"/>
        <v>0</v>
      </c>
      <c r="I169">
        <v>60</v>
      </c>
      <c r="J169" s="64">
        <f t="shared" si="90"/>
        <v>60</v>
      </c>
      <c r="K169" s="117">
        <f t="shared" si="86"/>
        <v>0.0004166666666666667</v>
      </c>
      <c r="L169" s="1">
        <f t="shared" si="91"/>
        <v>78433.92032146596</v>
      </c>
      <c r="M169" s="1">
        <f t="shared" si="81"/>
        <v>15279.335127558305</v>
      </c>
      <c r="N169" s="1">
        <f t="shared" si="73"/>
        <v>21000</v>
      </c>
      <c r="O169" s="74">
        <f t="shared" si="92"/>
        <v>0.7275873870265859</v>
      </c>
      <c r="P169" s="84">
        <f t="shared" si="75"/>
        <v>6</v>
      </c>
      <c r="Q169" s="1">
        <f t="shared" si="93"/>
        <v>8.80425</v>
      </c>
      <c r="R169" s="1">
        <f t="shared" si="94"/>
        <v>1560.9252477510406</v>
      </c>
      <c r="S169" s="1">
        <f t="shared" si="95"/>
        <v>14.67375</v>
      </c>
      <c r="T169" s="60">
        <f t="shared" si="82"/>
        <v>17.6085</v>
      </c>
      <c r="U169" s="101">
        <f t="shared" si="96"/>
        <v>21459.581151832463</v>
      </c>
      <c r="V169" s="102">
        <f t="shared" si="83"/>
        <v>8199.20436963351</v>
      </c>
      <c r="W169" s="102">
        <f t="shared" si="97"/>
        <v>17022.6</v>
      </c>
      <c r="X169" s="102">
        <f t="shared" si="98"/>
        <v>0</v>
      </c>
      <c r="Y169" s="103">
        <f t="shared" si="84"/>
        <v>31752.5348</v>
      </c>
      <c r="AB169" s="76"/>
      <c r="AC169" s="76"/>
      <c r="AD169" s="76"/>
      <c r="AE169" s="77"/>
      <c r="AF169" s="78"/>
      <c r="AG169" s="24"/>
      <c r="AH169" s="53"/>
      <c r="AI169" s="53"/>
      <c r="AJ169" s="53"/>
      <c r="AK169" s="53"/>
      <c r="AL169" s="53"/>
      <c r="AM169" s="1"/>
      <c r="AN169" s="1"/>
    </row>
    <row r="170" spans="2:40" ht="12.75">
      <c r="B170" s="122">
        <f t="shared" si="79"/>
        <v>39225.05190885382</v>
      </c>
      <c r="C170">
        <v>1</v>
      </c>
      <c r="D170" s="2">
        <v>0</v>
      </c>
      <c r="E170">
        <v>0.6</v>
      </c>
      <c r="F170">
        <f t="shared" si="89"/>
        <v>85.69999999999986</v>
      </c>
      <c r="G170" s="1">
        <f t="shared" si="80"/>
        <v>851.7696000000004</v>
      </c>
      <c r="H170" s="1">
        <f>IF(G170-G169&gt;0,G170-G169,0)</f>
        <v>0</v>
      </c>
      <c r="I170">
        <v>65</v>
      </c>
      <c r="J170" s="64">
        <f t="shared" si="90"/>
        <v>65</v>
      </c>
      <c r="K170" s="117">
        <f t="shared" si="86"/>
        <v>0.00038461538461538456</v>
      </c>
      <c r="L170" s="1">
        <f t="shared" si="91"/>
        <v>83578.09204921467</v>
      </c>
      <c r="M170" s="1">
        <f t="shared" si="81"/>
        <v>17638.233711684916</v>
      </c>
      <c r="N170" s="1">
        <f aca="true" t="shared" si="99" ref="N170:N233">$AB$11*(VLOOKUP($AB$10,$AA$36:$AI$44,4,0))</f>
        <v>21000</v>
      </c>
      <c r="O170" s="74">
        <f t="shared" si="92"/>
        <v>0.839915891032615</v>
      </c>
      <c r="P170" s="84">
        <f t="shared" si="75"/>
        <v>6</v>
      </c>
      <c r="Q170" s="1">
        <f t="shared" si="93"/>
        <v>8.126999999999999</v>
      </c>
      <c r="R170" s="1">
        <f t="shared" si="94"/>
        <v>1569.0522477510406</v>
      </c>
      <c r="S170" s="1">
        <f t="shared" si="95"/>
        <v>13.544999999999998</v>
      </c>
      <c r="T170" s="60">
        <f t="shared" si="82"/>
        <v>16.253999999999998</v>
      </c>
      <c r="U170" s="101">
        <f t="shared" si="96"/>
        <v>25185.202879581153</v>
      </c>
      <c r="V170" s="102">
        <f t="shared" si="83"/>
        <v>8199.20436963351</v>
      </c>
      <c r="W170" s="102">
        <f t="shared" si="97"/>
        <v>18441.15</v>
      </c>
      <c r="X170" s="102">
        <f t="shared" si="98"/>
        <v>0</v>
      </c>
      <c r="Y170" s="103">
        <f t="shared" si="84"/>
        <v>31752.5348</v>
      </c>
      <c r="AB170" s="76"/>
      <c r="AC170" s="76"/>
      <c r="AD170" s="76"/>
      <c r="AE170" s="77"/>
      <c r="AF170" s="78"/>
      <c r="AG170" s="24"/>
      <c r="AH170" s="53"/>
      <c r="AI170" s="53"/>
      <c r="AJ170" s="53"/>
      <c r="AK170" s="53"/>
      <c r="AL170" s="53"/>
      <c r="AM170" s="1"/>
      <c r="AN170" s="1"/>
    </row>
    <row r="171" spans="2:40" ht="12.75">
      <c r="B171" s="122">
        <f t="shared" si="79"/>
        <v>39225.05226599668</v>
      </c>
      <c r="C171">
        <v>0</v>
      </c>
      <c r="D171" s="2">
        <v>0</v>
      </c>
      <c r="E171">
        <v>0.6</v>
      </c>
      <c r="F171">
        <f t="shared" si="89"/>
        <v>86.29999999999986</v>
      </c>
      <c r="G171" s="1">
        <f t="shared" si="80"/>
        <v>851.7696000000004</v>
      </c>
      <c r="H171" s="1">
        <f aca="true" t="shared" si="100" ref="H171:H190">IF(G171-G170&gt;0,G171-G170,0)</f>
        <v>0</v>
      </c>
      <c r="I171">
        <v>70</v>
      </c>
      <c r="J171" s="64">
        <f t="shared" si="90"/>
        <v>70</v>
      </c>
      <c r="K171" s="117">
        <f t="shared" si="86"/>
        <v>0.00035714285714285714</v>
      </c>
      <c r="L171" s="1">
        <f t="shared" si="91"/>
        <v>73143.77871518325</v>
      </c>
      <c r="M171" s="1">
        <f t="shared" si="81"/>
        <v>16623.586071632555</v>
      </c>
      <c r="N171" s="1">
        <f t="shared" si="99"/>
        <v>21000</v>
      </c>
      <c r="O171" s="74">
        <f t="shared" si="92"/>
        <v>0.7915993367444074</v>
      </c>
      <c r="P171" s="84">
        <f t="shared" si="75"/>
        <v>6</v>
      </c>
      <c r="Q171" s="1">
        <f t="shared" si="93"/>
        <v>7.5465</v>
      </c>
      <c r="R171" s="1">
        <f t="shared" si="94"/>
        <v>1576.5987477510405</v>
      </c>
      <c r="S171" s="1">
        <f t="shared" si="95"/>
        <v>12.5775</v>
      </c>
      <c r="T171" s="60">
        <f t="shared" si="82"/>
        <v>15.093</v>
      </c>
      <c r="U171" s="101">
        <f t="shared" si="96"/>
        <v>29208.874345549742</v>
      </c>
      <c r="V171" s="102">
        <f t="shared" si="83"/>
        <v>8199.20436963351</v>
      </c>
      <c r="W171" s="102">
        <f t="shared" si="97"/>
        <v>19859.7</v>
      </c>
      <c r="X171" s="102">
        <f t="shared" si="98"/>
        <v>0</v>
      </c>
      <c r="Y171" s="103">
        <f t="shared" si="84"/>
        <v>15876</v>
      </c>
      <c r="AB171" s="76"/>
      <c r="AC171" s="76"/>
      <c r="AD171" s="76"/>
      <c r="AE171" s="77"/>
      <c r="AF171" s="78"/>
      <c r="AG171" s="24"/>
      <c r="AH171" s="53"/>
      <c r="AI171" s="53"/>
      <c r="AJ171" s="53"/>
      <c r="AK171" s="53"/>
      <c r="AL171" s="53"/>
      <c r="AM171" s="1"/>
      <c r="AN171" s="1"/>
    </row>
    <row r="172" spans="2:40" ht="12.75">
      <c r="B172" s="122">
        <f t="shared" si="79"/>
        <v>39225.05262313954</v>
      </c>
      <c r="C172">
        <v>0</v>
      </c>
      <c r="D172" s="2">
        <v>0</v>
      </c>
      <c r="E172">
        <v>0.6</v>
      </c>
      <c r="F172">
        <f t="shared" si="89"/>
        <v>86.89999999999985</v>
      </c>
      <c r="G172" s="1">
        <f t="shared" si="80"/>
        <v>851.7696000000004</v>
      </c>
      <c r="H172" s="1">
        <f t="shared" si="100"/>
        <v>0</v>
      </c>
      <c r="I172">
        <v>70</v>
      </c>
      <c r="J172" s="64">
        <f t="shared" si="90"/>
        <v>70</v>
      </c>
      <c r="K172" s="117">
        <f t="shared" si="86"/>
        <v>0.00035714285714285714</v>
      </c>
      <c r="L172" s="1">
        <f t="shared" si="91"/>
        <v>57267.778715183245</v>
      </c>
      <c r="M172" s="1">
        <f t="shared" si="81"/>
        <v>13015.404253450737</v>
      </c>
      <c r="N172" s="1">
        <f t="shared" si="99"/>
        <v>21000</v>
      </c>
      <c r="O172" s="74">
        <f t="shared" si="92"/>
        <v>0.6197811549262255</v>
      </c>
      <c r="P172" s="84">
        <f t="shared" si="75"/>
        <v>5</v>
      </c>
      <c r="Q172" s="1">
        <f t="shared" si="93"/>
        <v>6.28875</v>
      </c>
      <c r="R172" s="1">
        <f t="shared" si="94"/>
        <v>1582.8874977510404</v>
      </c>
      <c r="S172" s="1">
        <f t="shared" si="95"/>
        <v>10.481250000000001</v>
      </c>
      <c r="T172" s="60">
        <f t="shared" si="82"/>
        <v>12.5775</v>
      </c>
      <c r="U172" s="101">
        <f t="shared" si="96"/>
        <v>29208.874345549742</v>
      </c>
      <c r="V172" s="102">
        <f t="shared" si="83"/>
        <v>8199.20436963351</v>
      </c>
      <c r="W172" s="102">
        <f t="shared" si="97"/>
        <v>19859.7</v>
      </c>
      <c r="X172" s="102">
        <f t="shared" si="98"/>
        <v>0</v>
      </c>
      <c r="Y172" s="103">
        <f t="shared" si="84"/>
        <v>0</v>
      </c>
      <c r="AB172" s="76"/>
      <c r="AC172" s="76"/>
      <c r="AD172" s="76"/>
      <c r="AE172" s="77"/>
      <c r="AF172" s="78"/>
      <c r="AG172" s="24"/>
      <c r="AH172" s="53"/>
      <c r="AI172" s="53"/>
      <c r="AJ172" s="53"/>
      <c r="AK172" s="53"/>
      <c r="AL172" s="53"/>
      <c r="AM172" s="1"/>
      <c r="AN172" s="1"/>
    </row>
    <row r="173" spans="2:40" ht="12.75">
      <c r="B173" s="122">
        <f t="shared" si="79"/>
        <v>39225.0529802824</v>
      </c>
      <c r="C173">
        <v>0</v>
      </c>
      <c r="D173" s="2">
        <v>0</v>
      </c>
      <c r="E173">
        <v>0.6</v>
      </c>
      <c r="F173">
        <f t="shared" si="89"/>
        <v>87.49999999999984</v>
      </c>
      <c r="G173" s="1">
        <f t="shared" si="80"/>
        <v>851.7696000000004</v>
      </c>
      <c r="H173" s="1">
        <f t="shared" si="100"/>
        <v>0</v>
      </c>
      <c r="I173">
        <v>70</v>
      </c>
      <c r="J173" s="64">
        <f t="shared" si="90"/>
        <v>70</v>
      </c>
      <c r="K173" s="117">
        <f t="shared" si="86"/>
        <v>0.00035714285714285714</v>
      </c>
      <c r="L173" s="1">
        <f t="shared" si="91"/>
        <v>57267.778715183245</v>
      </c>
      <c r="M173" s="1">
        <f t="shared" si="81"/>
        <v>13015.404253450737</v>
      </c>
      <c r="N173" s="1">
        <f t="shared" si="99"/>
        <v>21000</v>
      </c>
      <c r="O173" s="74">
        <f t="shared" si="92"/>
        <v>0.6197811549262255</v>
      </c>
      <c r="P173" s="84">
        <f t="shared" si="75"/>
        <v>5</v>
      </c>
      <c r="Q173" s="1">
        <f t="shared" si="93"/>
        <v>6.28875</v>
      </c>
      <c r="R173" s="1">
        <f t="shared" si="94"/>
        <v>1589.1762477510404</v>
      </c>
      <c r="S173" s="1">
        <f t="shared" si="95"/>
        <v>10.481250000000001</v>
      </c>
      <c r="T173" s="60">
        <f t="shared" si="82"/>
        <v>12.5775</v>
      </c>
      <c r="U173" s="101">
        <f t="shared" si="96"/>
        <v>29208.874345549742</v>
      </c>
      <c r="V173" s="102">
        <f t="shared" si="83"/>
        <v>8199.20436963351</v>
      </c>
      <c r="W173" s="102">
        <f t="shared" si="97"/>
        <v>19859.7</v>
      </c>
      <c r="X173" s="102">
        <f t="shared" si="98"/>
        <v>0</v>
      </c>
      <c r="Y173" s="103">
        <f t="shared" si="84"/>
        <v>0</v>
      </c>
      <c r="AB173" s="76"/>
      <c r="AC173" s="76"/>
      <c r="AD173" s="76"/>
      <c r="AE173" s="77"/>
      <c r="AF173" s="78"/>
      <c r="AG173" s="24"/>
      <c r="AH173" s="53"/>
      <c r="AI173" s="53"/>
      <c r="AJ173" s="53"/>
      <c r="AK173" s="53"/>
      <c r="AL173" s="53"/>
      <c r="AM173" s="1"/>
      <c r="AN173" s="1"/>
    </row>
    <row r="174" spans="2:40" ht="12.75">
      <c r="B174" s="122">
        <f t="shared" si="79"/>
        <v>39225.05339694907</v>
      </c>
      <c r="C174">
        <v>2</v>
      </c>
      <c r="D174" s="2">
        <v>0</v>
      </c>
      <c r="E174">
        <v>0.6</v>
      </c>
      <c r="F174">
        <f t="shared" si="89"/>
        <v>88.09999999999984</v>
      </c>
      <c r="G174" s="1">
        <f t="shared" si="80"/>
        <v>851.7696000000004</v>
      </c>
      <c r="H174" s="1">
        <f t="shared" si="100"/>
        <v>0</v>
      </c>
      <c r="I174">
        <v>60</v>
      </c>
      <c r="J174" s="64">
        <f t="shared" si="90"/>
        <v>60</v>
      </c>
      <c r="K174" s="117">
        <f t="shared" si="86"/>
        <v>0.0004166666666666667</v>
      </c>
      <c r="L174" s="1">
        <f t="shared" si="91"/>
        <v>78434.45512146597</v>
      </c>
      <c r="M174" s="1">
        <f t="shared" si="81"/>
        <v>15279.439309376488</v>
      </c>
      <c r="N174" s="1">
        <f t="shared" si="99"/>
        <v>21000</v>
      </c>
      <c r="O174" s="74">
        <f t="shared" si="92"/>
        <v>0.7275923480655471</v>
      </c>
      <c r="P174" s="84">
        <f t="shared" si="75"/>
        <v>6</v>
      </c>
      <c r="Q174" s="1">
        <f t="shared" si="93"/>
        <v>8.80425</v>
      </c>
      <c r="R174" s="1">
        <f t="shared" si="94"/>
        <v>1597.9804977510403</v>
      </c>
      <c r="S174" s="1">
        <f t="shared" si="95"/>
        <v>14.67375</v>
      </c>
      <c r="T174" s="60">
        <f t="shared" si="82"/>
        <v>17.6085</v>
      </c>
      <c r="U174" s="101">
        <f t="shared" si="96"/>
        <v>21459.581151832463</v>
      </c>
      <c r="V174" s="102">
        <f t="shared" si="83"/>
        <v>8199.20436963351</v>
      </c>
      <c r="W174" s="102">
        <f t="shared" si="97"/>
        <v>17022.6</v>
      </c>
      <c r="X174" s="102">
        <f t="shared" si="98"/>
        <v>0</v>
      </c>
      <c r="Y174" s="103">
        <f t="shared" si="84"/>
        <v>31753.0696</v>
      </c>
      <c r="AB174" s="76"/>
      <c r="AC174" s="76"/>
      <c r="AD174" s="76"/>
      <c r="AE174" s="77"/>
      <c r="AF174" s="78"/>
      <c r="AG174" s="24"/>
      <c r="AH174" s="53"/>
      <c r="AI174" s="53"/>
      <c r="AJ174" s="53"/>
      <c r="AK174" s="53"/>
      <c r="AL174" s="53"/>
      <c r="AM174" s="1"/>
      <c r="AN174" s="1"/>
    </row>
    <row r="175" spans="2:40" ht="12.75">
      <c r="B175" s="122">
        <f t="shared" si="79"/>
        <v>39225.05389694907</v>
      </c>
      <c r="C175">
        <v>2</v>
      </c>
      <c r="D175" s="2">
        <v>0.002</v>
      </c>
      <c r="E175">
        <v>0.6</v>
      </c>
      <c r="F175">
        <f t="shared" si="89"/>
        <v>88.69999999999983</v>
      </c>
      <c r="G175" s="1">
        <f t="shared" si="80"/>
        <v>858.1056000000004</v>
      </c>
      <c r="H175" s="1">
        <f t="shared" si="100"/>
        <v>6.336000000000013</v>
      </c>
      <c r="I175">
        <v>50</v>
      </c>
      <c r="J175" s="64">
        <f t="shared" si="90"/>
        <v>50.00000000000001</v>
      </c>
      <c r="K175" s="117">
        <f t="shared" si="86"/>
        <v>0.0004999999999999999</v>
      </c>
      <c r="L175" s="1">
        <f t="shared" si="91"/>
        <v>123525.74088062828</v>
      </c>
      <c r="M175" s="1">
        <f t="shared" si="81"/>
        <v>20052.88001308901</v>
      </c>
      <c r="N175" s="1">
        <f t="shared" si="99"/>
        <v>21000</v>
      </c>
      <c r="O175" s="74">
        <f t="shared" si="92"/>
        <v>0.9548990482423337</v>
      </c>
      <c r="P175" s="84">
        <f t="shared" si="75"/>
        <v>8</v>
      </c>
      <c r="Q175" s="1">
        <f t="shared" si="93"/>
        <v>14.086799999999998</v>
      </c>
      <c r="R175" s="1">
        <f t="shared" si="94"/>
        <v>1612.0672977510403</v>
      </c>
      <c r="S175" s="1">
        <f t="shared" si="95"/>
        <v>23.477999999999998</v>
      </c>
      <c r="T175" s="60">
        <f t="shared" si="82"/>
        <v>28.173599999999997</v>
      </c>
      <c r="U175" s="101">
        <f t="shared" si="96"/>
        <v>14902.486910994765</v>
      </c>
      <c r="V175" s="102">
        <f t="shared" si="83"/>
        <v>8199.20436963351</v>
      </c>
      <c r="W175" s="102">
        <f t="shared" si="97"/>
        <v>14185.5</v>
      </c>
      <c r="X175" s="102">
        <f t="shared" si="98"/>
        <v>22733.48</v>
      </c>
      <c r="Y175" s="103">
        <f t="shared" si="84"/>
        <v>63505.0696</v>
      </c>
      <c r="AB175" s="76"/>
      <c r="AC175" s="76"/>
      <c r="AD175" s="76"/>
      <c r="AE175" s="77"/>
      <c r="AF175" s="78"/>
      <c r="AG175" s="24"/>
      <c r="AH175" s="53"/>
      <c r="AI175" s="53"/>
      <c r="AJ175" s="53"/>
      <c r="AK175" s="53"/>
      <c r="AL175" s="53"/>
      <c r="AM175" s="1"/>
      <c r="AN175" s="1"/>
    </row>
    <row r="176" spans="2:40" ht="12.75">
      <c r="B176" s="122">
        <f t="shared" si="79"/>
        <v>39225.05431361574</v>
      </c>
      <c r="C176">
        <v>0</v>
      </c>
      <c r="D176" s="2">
        <v>-0.002</v>
      </c>
      <c r="E176">
        <v>0.6</v>
      </c>
      <c r="F176">
        <f t="shared" si="89"/>
        <v>89.29999999999983</v>
      </c>
      <c r="G176" s="1">
        <f t="shared" si="80"/>
        <v>851.7696000000004</v>
      </c>
      <c r="H176" s="1">
        <f t="shared" si="100"/>
        <v>0</v>
      </c>
      <c r="I176">
        <v>60</v>
      </c>
      <c r="J176" s="64">
        <f t="shared" si="90"/>
        <v>60</v>
      </c>
      <c r="K176" s="117">
        <f t="shared" si="86"/>
        <v>0.0004166666666666667</v>
      </c>
      <c r="L176" s="1">
        <f t="shared" si="91"/>
        <v>55699.905521465975</v>
      </c>
      <c r="M176" s="1">
        <f t="shared" si="81"/>
        <v>10850.630945740126</v>
      </c>
      <c r="N176" s="1">
        <f t="shared" si="99"/>
        <v>21000</v>
      </c>
      <c r="O176" s="74">
        <f t="shared" si="92"/>
        <v>0.5166967117019108</v>
      </c>
      <c r="P176" s="84">
        <f t="shared" si="75"/>
        <v>4</v>
      </c>
      <c r="Q176" s="1">
        <f t="shared" si="93"/>
        <v>5.8695</v>
      </c>
      <c r="R176" s="1">
        <f t="shared" si="94"/>
        <v>1617.9367977510403</v>
      </c>
      <c r="S176" s="1">
        <f t="shared" si="95"/>
        <v>9.7825</v>
      </c>
      <c r="T176" s="60">
        <f t="shared" si="82"/>
        <v>11.739</v>
      </c>
      <c r="U176" s="101">
        <f t="shared" si="96"/>
        <v>21459.581151832463</v>
      </c>
      <c r="V176" s="102">
        <f t="shared" si="83"/>
        <v>8199.20436963351</v>
      </c>
      <c r="W176" s="102">
        <f t="shared" si="97"/>
        <v>17022.6</v>
      </c>
      <c r="X176" s="102">
        <f t="shared" si="98"/>
        <v>-22733.48</v>
      </c>
      <c r="Y176" s="103">
        <f t="shared" si="84"/>
        <v>31752</v>
      </c>
      <c r="AB176" s="76"/>
      <c r="AC176" s="76"/>
      <c r="AD176" s="76"/>
      <c r="AE176" s="77"/>
      <c r="AF176" s="78"/>
      <c r="AG176" s="24"/>
      <c r="AH176" s="53"/>
      <c r="AI176" s="53"/>
      <c r="AJ176" s="53"/>
      <c r="AK176" s="53"/>
      <c r="AL176" s="53"/>
      <c r="AM176" s="1"/>
      <c r="AN176" s="1"/>
    </row>
    <row r="177" spans="2:40" ht="12.75">
      <c r="B177" s="122">
        <f t="shared" si="79"/>
        <v>39225.05473028241</v>
      </c>
      <c r="C177">
        <v>0</v>
      </c>
      <c r="D177" s="2">
        <v>0</v>
      </c>
      <c r="E177">
        <v>0.6</v>
      </c>
      <c r="F177">
        <f t="shared" si="89"/>
        <v>89.89999999999982</v>
      </c>
      <c r="G177" s="1">
        <f t="shared" si="80"/>
        <v>851.7696000000004</v>
      </c>
      <c r="H177" s="1">
        <f t="shared" si="100"/>
        <v>0</v>
      </c>
      <c r="I177">
        <v>60</v>
      </c>
      <c r="J177" s="64">
        <f t="shared" si="90"/>
        <v>60.000000000000014</v>
      </c>
      <c r="K177" s="117">
        <f t="shared" si="86"/>
        <v>0.00041666666666666653</v>
      </c>
      <c r="L177" s="1">
        <f t="shared" si="91"/>
        <v>46681.38552146597</v>
      </c>
      <c r="M177" s="1">
        <f t="shared" si="81"/>
        <v>9093.77640028558</v>
      </c>
      <c r="N177" s="1">
        <f t="shared" si="99"/>
        <v>21000</v>
      </c>
      <c r="O177" s="74">
        <f t="shared" si="92"/>
        <v>0.43303697144217046</v>
      </c>
      <c r="P177" s="84">
        <f t="shared" si="75"/>
        <v>4</v>
      </c>
      <c r="Q177" s="1">
        <f t="shared" si="93"/>
        <v>5.869499999999999</v>
      </c>
      <c r="R177" s="1">
        <f t="shared" si="94"/>
        <v>1623.8062977510403</v>
      </c>
      <c r="S177" s="1">
        <f t="shared" si="95"/>
        <v>9.782499999999999</v>
      </c>
      <c r="T177" s="60">
        <f t="shared" si="82"/>
        <v>11.738999999999997</v>
      </c>
      <c r="U177" s="101">
        <f t="shared" si="96"/>
        <v>21459.581151832463</v>
      </c>
      <c r="V177" s="102">
        <f t="shared" si="83"/>
        <v>8199.20436963351</v>
      </c>
      <c r="W177" s="102">
        <f t="shared" si="97"/>
        <v>17022.6</v>
      </c>
      <c r="X177" s="102">
        <f t="shared" si="98"/>
        <v>0</v>
      </c>
      <c r="Y177" s="103">
        <f t="shared" si="84"/>
        <v>0</v>
      </c>
      <c r="AB177" s="76"/>
      <c r="AC177" s="76"/>
      <c r="AD177" s="76"/>
      <c r="AE177" s="77"/>
      <c r="AF177" s="78"/>
      <c r="AG177" s="24"/>
      <c r="AH177" s="53"/>
      <c r="AI177" s="53"/>
      <c r="AJ177" s="53"/>
      <c r="AK177" s="53"/>
      <c r="AL177" s="53"/>
      <c r="AM177" s="1"/>
      <c r="AN177" s="1"/>
    </row>
    <row r="178" spans="2:40" ht="12.75">
      <c r="B178" s="122">
        <f t="shared" si="79"/>
        <v>39225.05514694908</v>
      </c>
      <c r="C178">
        <v>2</v>
      </c>
      <c r="D178" s="2">
        <v>0</v>
      </c>
      <c r="E178">
        <v>0.6</v>
      </c>
      <c r="F178">
        <f t="shared" si="89"/>
        <v>90.49999999999982</v>
      </c>
      <c r="G178" s="1">
        <f t="shared" si="80"/>
        <v>851.7696000000004</v>
      </c>
      <c r="H178" s="1">
        <f t="shared" si="100"/>
        <v>0</v>
      </c>
      <c r="I178">
        <v>60</v>
      </c>
      <c r="J178" s="64">
        <f t="shared" si="90"/>
        <v>60</v>
      </c>
      <c r="K178" s="117">
        <f t="shared" si="86"/>
        <v>0.0004166666666666667</v>
      </c>
      <c r="L178" s="1">
        <f t="shared" si="91"/>
        <v>78434.45512146597</v>
      </c>
      <c r="M178" s="1">
        <f t="shared" si="81"/>
        <v>15279.439309376488</v>
      </c>
      <c r="N178" s="1">
        <f t="shared" si="99"/>
        <v>21000</v>
      </c>
      <c r="O178" s="74">
        <f t="shared" si="92"/>
        <v>0.7275923480655471</v>
      </c>
      <c r="P178" s="84">
        <f t="shared" si="75"/>
        <v>6</v>
      </c>
      <c r="Q178" s="1">
        <f t="shared" si="93"/>
        <v>8.80425</v>
      </c>
      <c r="R178" s="1">
        <f t="shared" si="94"/>
        <v>1632.6105477510403</v>
      </c>
      <c r="S178" s="1">
        <f t="shared" si="95"/>
        <v>14.67375</v>
      </c>
      <c r="T178" s="60">
        <f t="shared" si="82"/>
        <v>17.6085</v>
      </c>
      <c r="U178" s="101">
        <f t="shared" si="96"/>
        <v>21459.581151832463</v>
      </c>
      <c r="V178" s="102">
        <f t="shared" si="83"/>
        <v>8199.20436963351</v>
      </c>
      <c r="W178" s="102">
        <f t="shared" si="97"/>
        <v>17022.6</v>
      </c>
      <c r="X178" s="102">
        <f t="shared" si="98"/>
        <v>0</v>
      </c>
      <c r="Y178" s="103">
        <f t="shared" si="84"/>
        <v>31753.0696</v>
      </c>
      <c r="AB178" s="76"/>
      <c r="AC178" s="76"/>
      <c r="AD178" s="76"/>
      <c r="AE178" s="77"/>
      <c r="AF178" s="78"/>
      <c r="AG178" s="24"/>
      <c r="AH178" s="53"/>
      <c r="AI178" s="53"/>
      <c r="AJ178" s="53"/>
      <c r="AK178" s="53"/>
      <c r="AL178" s="53"/>
      <c r="AM178" s="1"/>
      <c r="AN178" s="1"/>
    </row>
    <row r="179" spans="2:40" ht="12.75">
      <c r="B179" s="122">
        <f t="shared" si="79"/>
        <v>39225.05556361575</v>
      </c>
      <c r="C179">
        <v>0</v>
      </c>
      <c r="D179" s="2">
        <v>0</v>
      </c>
      <c r="E179">
        <v>0.6</v>
      </c>
      <c r="F179">
        <f t="shared" si="89"/>
        <v>91.09999999999981</v>
      </c>
      <c r="G179" s="1">
        <f t="shared" si="80"/>
        <v>851.7696000000004</v>
      </c>
      <c r="H179" s="1">
        <f t="shared" si="100"/>
        <v>0</v>
      </c>
      <c r="I179">
        <v>60</v>
      </c>
      <c r="J179" s="64">
        <f t="shared" si="90"/>
        <v>60</v>
      </c>
      <c r="K179" s="117">
        <f t="shared" si="86"/>
        <v>0.0004166666666666667</v>
      </c>
      <c r="L179" s="1">
        <f t="shared" si="91"/>
        <v>78433.38552146597</v>
      </c>
      <c r="M179" s="1">
        <f t="shared" si="81"/>
        <v>15279.230945740124</v>
      </c>
      <c r="N179" s="1">
        <f t="shared" si="99"/>
        <v>21000</v>
      </c>
      <c r="O179" s="74">
        <f t="shared" si="92"/>
        <v>0.727582425987625</v>
      </c>
      <c r="P179" s="84">
        <f t="shared" si="75"/>
        <v>6</v>
      </c>
      <c r="Q179" s="1">
        <f t="shared" si="93"/>
        <v>8.80425</v>
      </c>
      <c r="R179" s="1">
        <f t="shared" si="94"/>
        <v>1641.4147977510402</v>
      </c>
      <c r="S179" s="1">
        <f t="shared" si="95"/>
        <v>14.67375</v>
      </c>
      <c r="T179" s="60">
        <f t="shared" si="82"/>
        <v>17.6085</v>
      </c>
      <c r="U179" s="101">
        <f t="shared" si="96"/>
        <v>21459.581151832463</v>
      </c>
      <c r="V179" s="102">
        <f t="shared" si="83"/>
        <v>8199.20436963351</v>
      </c>
      <c r="W179" s="102">
        <f t="shared" si="97"/>
        <v>17022.6</v>
      </c>
      <c r="X179" s="102">
        <f t="shared" si="98"/>
        <v>0</v>
      </c>
      <c r="Y179" s="103">
        <f t="shared" si="84"/>
        <v>31752</v>
      </c>
      <c r="AB179" s="76"/>
      <c r="AC179" s="76"/>
      <c r="AD179" s="76"/>
      <c r="AE179" s="77"/>
      <c r="AF179" s="78"/>
      <c r="AG179" s="24"/>
      <c r="AH179" s="53"/>
      <c r="AI179" s="53"/>
      <c r="AJ179" s="53"/>
      <c r="AK179" s="53"/>
      <c r="AL179" s="53"/>
      <c r="AM179" s="1"/>
      <c r="AN179" s="1"/>
    </row>
    <row r="180" spans="2:40" ht="12.75">
      <c r="B180" s="122">
        <f t="shared" si="79"/>
        <v>39225.05598028242</v>
      </c>
      <c r="C180">
        <v>0</v>
      </c>
      <c r="D180" s="2">
        <v>0</v>
      </c>
      <c r="E180">
        <v>0.6</v>
      </c>
      <c r="F180">
        <f t="shared" si="89"/>
        <v>91.6999999999998</v>
      </c>
      <c r="G180" s="1">
        <f t="shared" si="80"/>
        <v>851.7696000000004</v>
      </c>
      <c r="H180" s="1">
        <f t="shared" si="100"/>
        <v>0</v>
      </c>
      <c r="I180">
        <v>60</v>
      </c>
      <c r="J180" s="64">
        <f t="shared" si="90"/>
        <v>60.000000000000014</v>
      </c>
      <c r="K180" s="117">
        <f t="shared" si="86"/>
        <v>0.00041666666666666653</v>
      </c>
      <c r="L180" s="1">
        <f t="shared" si="91"/>
        <v>46681.38552146597</v>
      </c>
      <c r="M180" s="1">
        <f t="shared" si="81"/>
        <v>9093.77640028558</v>
      </c>
      <c r="N180" s="1">
        <f t="shared" si="99"/>
        <v>21000</v>
      </c>
      <c r="O180" s="74">
        <f t="shared" si="92"/>
        <v>0.43303697144217046</v>
      </c>
      <c r="P180" s="84">
        <f t="shared" si="75"/>
        <v>4</v>
      </c>
      <c r="Q180" s="1">
        <f t="shared" si="93"/>
        <v>5.869499999999999</v>
      </c>
      <c r="R180" s="1">
        <f t="shared" si="94"/>
        <v>1647.2842977510402</v>
      </c>
      <c r="S180" s="1">
        <f t="shared" si="95"/>
        <v>9.782499999999999</v>
      </c>
      <c r="T180" s="60">
        <f t="shared" si="82"/>
        <v>11.738999999999997</v>
      </c>
      <c r="U180" s="101">
        <f t="shared" si="96"/>
        <v>21459.581151832463</v>
      </c>
      <c r="V180" s="102">
        <f t="shared" si="83"/>
        <v>8199.20436963351</v>
      </c>
      <c r="W180" s="102">
        <f t="shared" si="97"/>
        <v>17022.6</v>
      </c>
      <c r="X180" s="102">
        <f t="shared" si="98"/>
        <v>0</v>
      </c>
      <c r="Y180" s="103">
        <f t="shared" si="84"/>
        <v>0</v>
      </c>
      <c r="AB180" s="76"/>
      <c r="AC180" s="76"/>
      <c r="AD180" s="76"/>
      <c r="AE180" s="77"/>
      <c r="AF180" s="78"/>
      <c r="AG180" s="24"/>
      <c r="AH180" s="53"/>
      <c r="AI180" s="53"/>
      <c r="AJ180" s="53"/>
      <c r="AK180" s="53"/>
      <c r="AL180" s="53"/>
      <c r="AM180" s="1"/>
      <c r="AN180" s="1"/>
    </row>
    <row r="181" spans="2:40" ht="12.75">
      <c r="B181" s="122">
        <f t="shared" si="79"/>
        <v>39225.05639694909</v>
      </c>
      <c r="C181">
        <v>2</v>
      </c>
      <c r="D181" s="2">
        <v>0</v>
      </c>
      <c r="E181">
        <v>0.6</v>
      </c>
      <c r="F181">
        <f t="shared" si="89"/>
        <v>92.2999999999998</v>
      </c>
      <c r="G181" s="1">
        <f t="shared" si="80"/>
        <v>851.7696000000004</v>
      </c>
      <c r="H181" s="1">
        <f t="shared" si="100"/>
        <v>0</v>
      </c>
      <c r="I181">
        <v>60</v>
      </c>
      <c r="J181" s="64">
        <f t="shared" si="90"/>
        <v>60</v>
      </c>
      <c r="K181" s="117">
        <f t="shared" si="86"/>
        <v>0.0004166666666666667</v>
      </c>
      <c r="L181" s="1">
        <f t="shared" si="91"/>
        <v>78434.45512146597</v>
      </c>
      <c r="M181" s="1">
        <f t="shared" si="81"/>
        <v>15279.439309376488</v>
      </c>
      <c r="N181" s="1">
        <f t="shared" si="99"/>
        <v>21000</v>
      </c>
      <c r="O181" s="74">
        <f t="shared" si="92"/>
        <v>0.7275923480655471</v>
      </c>
      <c r="P181" s="84">
        <f t="shared" si="75"/>
        <v>6</v>
      </c>
      <c r="Q181" s="1">
        <f t="shared" si="93"/>
        <v>8.80425</v>
      </c>
      <c r="R181" s="1">
        <f t="shared" si="94"/>
        <v>1656.08854775104</v>
      </c>
      <c r="S181" s="1">
        <f t="shared" si="95"/>
        <v>14.67375</v>
      </c>
      <c r="T181" s="60">
        <f t="shared" si="82"/>
        <v>17.6085</v>
      </c>
      <c r="U181" s="101">
        <f t="shared" si="96"/>
        <v>21459.581151832463</v>
      </c>
      <c r="V181" s="102">
        <f t="shared" si="83"/>
        <v>8199.20436963351</v>
      </c>
      <c r="W181" s="102">
        <f t="shared" si="97"/>
        <v>17022.6</v>
      </c>
      <c r="X181" s="102">
        <f t="shared" si="98"/>
        <v>0</v>
      </c>
      <c r="Y181" s="103">
        <f t="shared" si="84"/>
        <v>31753.0696</v>
      </c>
      <c r="AB181" s="76"/>
      <c r="AC181" s="76"/>
      <c r="AD181" s="76"/>
      <c r="AE181" s="77"/>
      <c r="AF181" s="78"/>
      <c r="AG181" s="24"/>
      <c r="AH181" s="53"/>
      <c r="AI181" s="53"/>
      <c r="AJ181" s="53"/>
      <c r="AK181" s="53"/>
      <c r="AL181" s="53"/>
      <c r="AM181" s="1"/>
      <c r="AN181" s="1"/>
    </row>
    <row r="182" spans="2:40" ht="12.75">
      <c r="B182" s="122">
        <f t="shared" si="79"/>
        <v>39225.05681361576</v>
      </c>
      <c r="C182">
        <v>0</v>
      </c>
      <c r="D182" s="2">
        <v>0</v>
      </c>
      <c r="E182">
        <v>0.6</v>
      </c>
      <c r="F182">
        <f t="shared" si="89"/>
        <v>92.89999999999979</v>
      </c>
      <c r="G182" s="1">
        <f t="shared" si="80"/>
        <v>851.7696000000004</v>
      </c>
      <c r="H182" s="1">
        <f t="shared" si="100"/>
        <v>0</v>
      </c>
      <c r="I182">
        <v>60</v>
      </c>
      <c r="J182" s="64">
        <f t="shared" si="90"/>
        <v>60</v>
      </c>
      <c r="K182" s="117">
        <f t="shared" si="86"/>
        <v>0.0004166666666666667</v>
      </c>
      <c r="L182" s="1">
        <f t="shared" si="91"/>
        <v>78433.38552146597</v>
      </c>
      <c r="M182" s="1">
        <f t="shared" si="81"/>
        <v>15279.230945740124</v>
      </c>
      <c r="N182" s="1">
        <f t="shared" si="99"/>
        <v>21000</v>
      </c>
      <c r="O182" s="74">
        <f t="shared" si="92"/>
        <v>0.727582425987625</v>
      </c>
      <c r="P182" s="84">
        <f t="shared" si="75"/>
        <v>6</v>
      </c>
      <c r="Q182" s="1">
        <f t="shared" si="93"/>
        <v>8.80425</v>
      </c>
      <c r="R182" s="1">
        <f t="shared" si="94"/>
        <v>1664.89279775104</v>
      </c>
      <c r="S182" s="1">
        <f t="shared" si="95"/>
        <v>14.67375</v>
      </c>
      <c r="T182" s="60">
        <f t="shared" si="82"/>
        <v>17.6085</v>
      </c>
      <c r="U182" s="101">
        <f t="shared" si="96"/>
        <v>21459.581151832463</v>
      </c>
      <c r="V182" s="102">
        <f t="shared" si="83"/>
        <v>8199.20436963351</v>
      </c>
      <c r="W182" s="102">
        <f t="shared" si="97"/>
        <v>17022.6</v>
      </c>
      <c r="X182" s="102">
        <f t="shared" si="98"/>
        <v>0</v>
      </c>
      <c r="Y182" s="103">
        <f t="shared" si="84"/>
        <v>31752</v>
      </c>
      <c r="AB182" s="76"/>
      <c r="AC182" s="76"/>
      <c r="AD182" s="76"/>
      <c r="AE182" s="77"/>
      <c r="AF182" s="78"/>
      <c r="AG182" s="24"/>
      <c r="AH182" s="53"/>
      <c r="AI182" s="53"/>
      <c r="AJ182" s="53"/>
      <c r="AK182" s="53"/>
      <c r="AL182" s="53"/>
      <c r="AM182" s="1"/>
      <c r="AN182" s="1"/>
    </row>
    <row r="183" spans="2:40" ht="12.75">
      <c r="B183" s="122">
        <f t="shared" si="79"/>
        <v>39225.05723028243</v>
      </c>
      <c r="C183">
        <v>0</v>
      </c>
      <c r="D183" s="2">
        <v>0</v>
      </c>
      <c r="E183">
        <v>0.6</v>
      </c>
      <c r="F183">
        <f t="shared" si="89"/>
        <v>93.49999999999979</v>
      </c>
      <c r="G183" s="1">
        <f t="shared" si="80"/>
        <v>851.7696000000004</v>
      </c>
      <c r="H183" s="1">
        <f t="shared" si="100"/>
        <v>0</v>
      </c>
      <c r="I183">
        <v>60</v>
      </c>
      <c r="J183" s="64">
        <f t="shared" si="90"/>
        <v>60.000000000000014</v>
      </c>
      <c r="K183" s="117">
        <f t="shared" si="86"/>
        <v>0.00041666666666666653</v>
      </c>
      <c r="L183" s="1">
        <f t="shared" si="91"/>
        <v>46681.38552146597</v>
      </c>
      <c r="M183" s="1">
        <f t="shared" si="81"/>
        <v>9093.77640028558</v>
      </c>
      <c r="N183" s="1">
        <f t="shared" si="99"/>
        <v>21000</v>
      </c>
      <c r="O183" s="74">
        <f t="shared" si="92"/>
        <v>0.43303697144217046</v>
      </c>
      <c r="P183" s="84">
        <f t="shared" si="75"/>
        <v>4</v>
      </c>
      <c r="Q183" s="1">
        <f t="shared" si="93"/>
        <v>5.869499999999999</v>
      </c>
      <c r="R183" s="1">
        <f t="shared" si="94"/>
        <v>1670.76229775104</v>
      </c>
      <c r="S183" s="1">
        <f t="shared" si="95"/>
        <v>9.782499999999999</v>
      </c>
      <c r="T183" s="60">
        <f t="shared" si="82"/>
        <v>11.738999999999997</v>
      </c>
      <c r="U183" s="101">
        <f t="shared" si="96"/>
        <v>21459.581151832463</v>
      </c>
      <c r="V183" s="102">
        <f t="shared" si="83"/>
        <v>8199.20436963351</v>
      </c>
      <c r="W183" s="102">
        <f t="shared" si="97"/>
        <v>17022.6</v>
      </c>
      <c r="X183" s="102">
        <f t="shared" si="98"/>
        <v>0</v>
      </c>
      <c r="Y183" s="103">
        <f t="shared" si="84"/>
        <v>0</v>
      </c>
      <c r="AB183" s="76"/>
      <c r="AC183" s="76"/>
      <c r="AD183" s="76"/>
      <c r="AE183" s="77"/>
      <c r="AF183" s="78"/>
      <c r="AG183" s="24"/>
      <c r="AH183" s="53"/>
      <c r="AI183" s="53"/>
      <c r="AJ183" s="53"/>
      <c r="AK183" s="53"/>
      <c r="AL183" s="53"/>
      <c r="AM183" s="1"/>
      <c r="AN183" s="1"/>
    </row>
    <row r="184" spans="2:40" ht="12.75">
      <c r="B184" s="122">
        <f t="shared" si="79"/>
        <v>39225.0576469491</v>
      </c>
      <c r="C184">
        <v>0</v>
      </c>
      <c r="D184" s="2">
        <v>0</v>
      </c>
      <c r="E184">
        <v>0.6</v>
      </c>
      <c r="F184">
        <f t="shared" si="89"/>
        <v>94.09999999999978</v>
      </c>
      <c r="G184" s="1">
        <f t="shared" si="80"/>
        <v>851.7696000000004</v>
      </c>
      <c r="H184" s="1">
        <f t="shared" si="100"/>
        <v>0</v>
      </c>
      <c r="I184">
        <v>60</v>
      </c>
      <c r="J184" s="64">
        <f t="shared" si="90"/>
        <v>60.000000000000014</v>
      </c>
      <c r="K184" s="117">
        <f t="shared" si="86"/>
        <v>0.00041666666666666653</v>
      </c>
      <c r="L184" s="1">
        <f t="shared" si="91"/>
        <v>46681.38552146597</v>
      </c>
      <c r="M184" s="1">
        <f t="shared" si="81"/>
        <v>9093.77640028558</v>
      </c>
      <c r="N184" s="1">
        <f t="shared" si="99"/>
        <v>21000</v>
      </c>
      <c r="O184" s="74">
        <f t="shared" si="92"/>
        <v>0.43303697144217046</v>
      </c>
      <c r="P184" s="84">
        <f t="shared" si="75"/>
        <v>4</v>
      </c>
      <c r="Q184" s="1">
        <f t="shared" si="93"/>
        <v>5.869499999999999</v>
      </c>
      <c r="R184" s="1">
        <f t="shared" si="94"/>
        <v>1676.63179775104</v>
      </c>
      <c r="S184" s="1">
        <f t="shared" si="95"/>
        <v>9.782499999999999</v>
      </c>
      <c r="T184" s="60">
        <f t="shared" si="82"/>
        <v>11.738999999999997</v>
      </c>
      <c r="U184" s="101">
        <f t="shared" si="96"/>
        <v>21459.581151832463</v>
      </c>
      <c r="V184" s="102">
        <f t="shared" si="83"/>
        <v>8199.20436963351</v>
      </c>
      <c r="W184" s="102">
        <f t="shared" si="97"/>
        <v>17022.6</v>
      </c>
      <c r="X184" s="102">
        <f t="shared" si="98"/>
        <v>0</v>
      </c>
      <c r="Y184" s="103">
        <f t="shared" si="84"/>
        <v>0</v>
      </c>
      <c r="AB184" s="76"/>
      <c r="AC184" s="76"/>
      <c r="AD184" s="76"/>
      <c r="AE184" s="77"/>
      <c r="AF184" s="78"/>
      <c r="AG184" s="24"/>
      <c r="AH184" s="53"/>
      <c r="AI184" s="53"/>
      <c r="AJ184" s="53"/>
      <c r="AK184" s="53"/>
      <c r="AL184" s="53"/>
      <c r="AM184" s="1"/>
      <c r="AN184" s="1"/>
    </row>
    <row r="185" spans="2:40" ht="12.75">
      <c r="B185" s="122">
        <f t="shared" si="79"/>
        <v>39225.05806361577</v>
      </c>
      <c r="C185">
        <v>0</v>
      </c>
      <c r="D185" s="2">
        <v>0</v>
      </c>
      <c r="E185">
        <v>0.6</v>
      </c>
      <c r="F185">
        <f t="shared" si="89"/>
        <v>94.69999999999978</v>
      </c>
      <c r="G185" s="1">
        <f t="shared" si="80"/>
        <v>851.7696000000004</v>
      </c>
      <c r="H185" s="1">
        <f t="shared" si="100"/>
        <v>0</v>
      </c>
      <c r="I185">
        <v>60</v>
      </c>
      <c r="J185" s="64">
        <f t="shared" si="90"/>
        <v>60.000000000000014</v>
      </c>
      <c r="K185" s="117">
        <f t="shared" si="86"/>
        <v>0.00041666666666666653</v>
      </c>
      <c r="L185" s="1">
        <f t="shared" si="91"/>
        <v>46681.38552146597</v>
      </c>
      <c r="M185" s="1">
        <f t="shared" si="81"/>
        <v>9093.77640028558</v>
      </c>
      <c r="N185" s="1">
        <f t="shared" si="99"/>
        <v>21000</v>
      </c>
      <c r="O185" s="74">
        <f t="shared" si="92"/>
        <v>0.43303697144217046</v>
      </c>
      <c r="P185" s="84">
        <f t="shared" si="75"/>
        <v>4</v>
      </c>
      <c r="Q185" s="1">
        <f t="shared" si="93"/>
        <v>5.869499999999999</v>
      </c>
      <c r="R185" s="1">
        <f t="shared" si="94"/>
        <v>1682.50129775104</v>
      </c>
      <c r="S185" s="1">
        <f t="shared" si="95"/>
        <v>9.782499999999999</v>
      </c>
      <c r="T185" s="60">
        <f t="shared" si="82"/>
        <v>11.738999999999997</v>
      </c>
      <c r="U185" s="101">
        <f t="shared" si="96"/>
        <v>21459.581151832463</v>
      </c>
      <c r="V185" s="102">
        <f t="shared" si="83"/>
        <v>8199.20436963351</v>
      </c>
      <c r="W185" s="102">
        <f t="shared" si="97"/>
        <v>17022.6</v>
      </c>
      <c r="X185" s="102">
        <f t="shared" si="98"/>
        <v>0</v>
      </c>
      <c r="Y185" s="103">
        <f t="shared" si="84"/>
        <v>0</v>
      </c>
      <c r="AB185" s="76"/>
      <c r="AC185" s="76"/>
      <c r="AD185" s="76"/>
      <c r="AE185" s="77"/>
      <c r="AF185" s="78"/>
      <c r="AG185" s="24"/>
      <c r="AH185" s="53"/>
      <c r="AI185" s="53"/>
      <c r="AJ185" s="53"/>
      <c r="AK185" s="53"/>
      <c r="AL185" s="53"/>
      <c r="AM185" s="1"/>
      <c r="AN185" s="1"/>
    </row>
    <row r="186" spans="2:40" ht="12.75">
      <c r="B186" s="122">
        <f t="shared" si="79"/>
        <v>39225.05848028244</v>
      </c>
      <c r="C186">
        <v>1</v>
      </c>
      <c r="D186" s="2">
        <v>0.0015</v>
      </c>
      <c r="E186">
        <v>0.6</v>
      </c>
      <c r="F186">
        <f t="shared" si="89"/>
        <v>95.29999999999977</v>
      </c>
      <c r="G186" s="1">
        <f t="shared" si="80"/>
        <v>856.5216000000004</v>
      </c>
      <c r="H186" s="1">
        <f t="shared" si="100"/>
        <v>4.751999999999953</v>
      </c>
      <c r="I186">
        <v>60</v>
      </c>
      <c r="J186" s="64">
        <f t="shared" si="90"/>
        <v>59.99999999999999</v>
      </c>
      <c r="K186" s="117">
        <f t="shared" si="86"/>
        <v>0.0004166666666666667</v>
      </c>
      <c r="L186" s="1">
        <f t="shared" si="91"/>
        <v>79608.03032146597</v>
      </c>
      <c r="M186" s="1">
        <f t="shared" si="81"/>
        <v>15508.057854831031</v>
      </c>
      <c r="N186" s="1">
        <f t="shared" si="99"/>
        <v>21000</v>
      </c>
      <c r="O186" s="74">
        <f t="shared" si="92"/>
        <v>0.7384789454681443</v>
      </c>
      <c r="P186" s="84">
        <f t="shared" si="75"/>
        <v>6</v>
      </c>
      <c r="Q186" s="1">
        <f t="shared" si="93"/>
        <v>8.80425</v>
      </c>
      <c r="R186" s="1">
        <f t="shared" si="94"/>
        <v>1691.30554775104</v>
      </c>
      <c r="S186" s="1">
        <f t="shared" si="95"/>
        <v>14.67375</v>
      </c>
      <c r="T186" s="60">
        <f t="shared" si="82"/>
        <v>17.6085</v>
      </c>
      <c r="U186" s="101">
        <f t="shared" si="96"/>
        <v>21459.581151832463</v>
      </c>
      <c r="V186" s="102">
        <f t="shared" si="83"/>
        <v>8199.20436963351</v>
      </c>
      <c r="W186" s="102">
        <f t="shared" si="97"/>
        <v>17022.6</v>
      </c>
      <c r="X186" s="102">
        <f t="shared" si="98"/>
        <v>17050.11</v>
      </c>
      <c r="Y186" s="103">
        <f t="shared" si="84"/>
        <v>15876.5348</v>
      </c>
      <c r="AB186" s="76"/>
      <c r="AC186" s="76"/>
      <c r="AD186" s="76"/>
      <c r="AE186" s="77"/>
      <c r="AF186" s="78"/>
      <c r="AG186" s="24"/>
      <c r="AH186" s="53"/>
      <c r="AI186" s="53"/>
      <c r="AJ186" s="53"/>
      <c r="AK186" s="53"/>
      <c r="AL186" s="53"/>
      <c r="AM186" s="1"/>
      <c r="AN186" s="1"/>
    </row>
    <row r="187" spans="2:40" ht="12.75">
      <c r="B187" s="122">
        <f t="shared" si="79"/>
        <v>39225.05889694911</v>
      </c>
      <c r="C187">
        <v>0</v>
      </c>
      <c r="D187" s="2">
        <v>0</v>
      </c>
      <c r="E187">
        <v>0.6</v>
      </c>
      <c r="F187">
        <f t="shared" si="89"/>
        <v>95.89999999999976</v>
      </c>
      <c r="G187" s="1">
        <f t="shared" si="80"/>
        <v>856.5216000000004</v>
      </c>
      <c r="H187" s="1">
        <f t="shared" si="100"/>
        <v>0</v>
      </c>
      <c r="I187">
        <v>60</v>
      </c>
      <c r="J187" s="64">
        <f t="shared" si="90"/>
        <v>60</v>
      </c>
      <c r="K187" s="117">
        <f t="shared" si="86"/>
        <v>0.0004166666666666667</v>
      </c>
      <c r="L187" s="1">
        <f t="shared" si="91"/>
        <v>62557.38552146597</v>
      </c>
      <c r="M187" s="1">
        <f t="shared" si="81"/>
        <v>12186.503673012852</v>
      </c>
      <c r="N187" s="1">
        <f t="shared" si="99"/>
        <v>21000</v>
      </c>
      <c r="O187" s="74">
        <f t="shared" si="92"/>
        <v>0.5803096987148977</v>
      </c>
      <c r="P187" s="84">
        <f aca="true" t="shared" si="101" ref="P187:P231">ROUNDUP(IF(M187/N187*9&gt;=8,8,IF(M187/N187*10&gt;0,(M187-M187*0.3)/N187*10,1)),0)</f>
        <v>5</v>
      </c>
      <c r="Q187" s="1">
        <f t="shared" si="93"/>
        <v>7.336875000000001</v>
      </c>
      <c r="R187" s="1">
        <f t="shared" si="94"/>
        <v>1698.64242275104</v>
      </c>
      <c r="S187" s="1">
        <f t="shared" si="95"/>
        <v>12.228125000000002</v>
      </c>
      <c r="T187" s="60">
        <f t="shared" si="82"/>
        <v>14.673750000000002</v>
      </c>
      <c r="U187" s="101">
        <f t="shared" si="96"/>
        <v>21459.581151832463</v>
      </c>
      <c r="V187" s="102">
        <f t="shared" si="83"/>
        <v>8199.20436963351</v>
      </c>
      <c r="W187" s="102">
        <f t="shared" si="97"/>
        <v>17022.6</v>
      </c>
      <c r="X187" s="102">
        <f t="shared" si="98"/>
        <v>0</v>
      </c>
      <c r="Y187" s="103">
        <f t="shared" si="84"/>
        <v>15876</v>
      </c>
      <c r="AB187" s="76"/>
      <c r="AC187" s="76"/>
      <c r="AD187" s="76"/>
      <c r="AE187" s="77"/>
      <c r="AF187" s="78"/>
      <c r="AG187" s="24"/>
      <c r="AH187" s="53"/>
      <c r="AI187" s="53"/>
      <c r="AJ187" s="53"/>
      <c r="AK187" s="53"/>
      <c r="AL187" s="53"/>
      <c r="AM187" s="1"/>
      <c r="AN187" s="1"/>
    </row>
    <row r="188" spans="2:40" ht="12.75">
      <c r="B188" s="122">
        <f t="shared" si="79"/>
        <v>39225.05931361578</v>
      </c>
      <c r="C188">
        <v>1</v>
      </c>
      <c r="D188" s="2">
        <v>0</v>
      </c>
      <c r="E188">
        <v>0.6</v>
      </c>
      <c r="F188">
        <f t="shared" si="89"/>
        <v>96.49999999999976</v>
      </c>
      <c r="G188" s="1">
        <f t="shared" si="80"/>
        <v>856.5216000000004</v>
      </c>
      <c r="H188" s="1">
        <f t="shared" si="100"/>
        <v>0</v>
      </c>
      <c r="I188">
        <v>60</v>
      </c>
      <c r="J188" s="64">
        <f t="shared" si="90"/>
        <v>60</v>
      </c>
      <c r="K188" s="117">
        <f t="shared" si="86"/>
        <v>0.0004166666666666667</v>
      </c>
      <c r="L188" s="1">
        <f t="shared" si="91"/>
        <v>62557.92032146597</v>
      </c>
      <c r="M188" s="1">
        <f t="shared" si="81"/>
        <v>12186.607854831034</v>
      </c>
      <c r="N188" s="1">
        <f t="shared" si="99"/>
        <v>21000</v>
      </c>
      <c r="O188" s="74">
        <f t="shared" si="92"/>
        <v>0.5803146597538588</v>
      </c>
      <c r="P188" s="84">
        <f t="shared" si="101"/>
        <v>5</v>
      </c>
      <c r="Q188" s="1">
        <f t="shared" si="93"/>
        <v>7.336875000000001</v>
      </c>
      <c r="R188" s="1">
        <f t="shared" si="94"/>
        <v>1705.97929775104</v>
      </c>
      <c r="S188" s="1">
        <f t="shared" si="95"/>
        <v>12.228125000000002</v>
      </c>
      <c r="T188" s="60">
        <f t="shared" si="82"/>
        <v>14.673750000000002</v>
      </c>
      <c r="U188" s="101">
        <f t="shared" si="96"/>
        <v>21459.581151832463</v>
      </c>
      <c r="V188" s="102">
        <f t="shared" si="83"/>
        <v>8199.20436963351</v>
      </c>
      <c r="W188" s="102">
        <f t="shared" si="97"/>
        <v>17022.6</v>
      </c>
      <c r="X188" s="102">
        <f t="shared" si="98"/>
        <v>0</v>
      </c>
      <c r="Y188" s="103">
        <f t="shared" si="84"/>
        <v>15876.5348</v>
      </c>
      <c r="AB188" s="76"/>
      <c r="AC188" s="76"/>
      <c r="AD188" s="76"/>
      <c r="AE188" s="77"/>
      <c r="AF188" s="78"/>
      <c r="AG188" s="24"/>
      <c r="AH188" s="53"/>
      <c r="AI188" s="53"/>
      <c r="AJ188" s="53"/>
      <c r="AK188" s="53"/>
      <c r="AL188" s="53"/>
      <c r="AM188" s="1"/>
      <c r="AN188" s="1"/>
    </row>
    <row r="189" spans="2:40" ht="12.75">
      <c r="B189" s="122">
        <f t="shared" si="79"/>
        <v>39225.059730282446</v>
      </c>
      <c r="C189">
        <v>1</v>
      </c>
      <c r="D189" s="2">
        <v>0</v>
      </c>
      <c r="E189">
        <v>0.6</v>
      </c>
      <c r="F189">
        <f t="shared" si="89"/>
        <v>97.09999999999975</v>
      </c>
      <c r="G189" s="1">
        <f t="shared" si="80"/>
        <v>856.5216000000004</v>
      </c>
      <c r="H189" s="1">
        <f t="shared" si="100"/>
        <v>0</v>
      </c>
      <c r="I189">
        <v>60</v>
      </c>
      <c r="J189" s="64">
        <f t="shared" si="90"/>
        <v>60</v>
      </c>
      <c r="K189" s="117">
        <f t="shared" si="86"/>
        <v>0.0004166666666666667</v>
      </c>
      <c r="L189" s="1">
        <f t="shared" si="91"/>
        <v>78433.92032146596</v>
      </c>
      <c r="M189" s="1">
        <f t="shared" si="81"/>
        <v>15279.335127558305</v>
      </c>
      <c r="N189" s="1">
        <f t="shared" si="99"/>
        <v>21000</v>
      </c>
      <c r="O189" s="74">
        <f t="shared" si="92"/>
        <v>0.7275873870265859</v>
      </c>
      <c r="P189" s="84">
        <f t="shared" si="101"/>
        <v>6</v>
      </c>
      <c r="Q189" s="1">
        <f t="shared" si="93"/>
        <v>8.80425</v>
      </c>
      <c r="R189" s="1">
        <f t="shared" si="94"/>
        <v>1714.7835477510398</v>
      </c>
      <c r="S189" s="1">
        <f t="shared" si="95"/>
        <v>14.67375</v>
      </c>
      <c r="T189" s="60">
        <f t="shared" si="82"/>
        <v>17.6085</v>
      </c>
      <c r="U189" s="101">
        <f t="shared" si="96"/>
        <v>21459.581151832463</v>
      </c>
      <c r="V189" s="102">
        <f t="shared" si="83"/>
        <v>8199.20436963351</v>
      </c>
      <c r="W189" s="102">
        <f t="shared" si="97"/>
        <v>17022.6</v>
      </c>
      <c r="X189" s="102">
        <f t="shared" si="98"/>
        <v>0</v>
      </c>
      <c r="Y189" s="103">
        <f t="shared" si="84"/>
        <v>31752.5348</v>
      </c>
      <c r="AB189" s="76"/>
      <c r="AC189" s="76"/>
      <c r="AD189" s="76"/>
      <c r="AE189" s="77"/>
      <c r="AF189" s="78"/>
      <c r="AG189" s="24"/>
      <c r="AH189" s="53"/>
      <c r="AI189" s="53"/>
      <c r="AJ189" s="53"/>
      <c r="AK189" s="53"/>
      <c r="AL189" s="53"/>
      <c r="AM189" s="1"/>
      <c r="AN189" s="1"/>
    </row>
    <row r="190" spans="2:40" ht="12.75">
      <c r="B190" s="122">
        <f t="shared" si="79"/>
        <v>39225.060146949116</v>
      </c>
      <c r="C190">
        <v>0</v>
      </c>
      <c r="D190" s="2">
        <v>0</v>
      </c>
      <c r="E190">
        <v>0.6</v>
      </c>
      <c r="F190">
        <f t="shared" si="89"/>
        <v>97.69999999999975</v>
      </c>
      <c r="G190" s="1">
        <f t="shared" si="80"/>
        <v>856.5216000000004</v>
      </c>
      <c r="H190" s="1">
        <f t="shared" si="100"/>
        <v>0</v>
      </c>
      <c r="I190">
        <v>60</v>
      </c>
      <c r="J190" s="64">
        <f t="shared" si="90"/>
        <v>60</v>
      </c>
      <c r="K190" s="117">
        <f t="shared" si="86"/>
        <v>0.0004166666666666667</v>
      </c>
      <c r="L190" s="1">
        <f t="shared" si="91"/>
        <v>62557.38552146597</v>
      </c>
      <c r="M190" s="1">
        <f t="shared" si="81"/>
        <v>12186.503673012852</v>
      </c>
      <c r="N190" s="1">
        <f t="shared" si="99"/>
        <v>21000</v>
      </c>
      <c r="O190" s="74">
        <f t="shared" si="92"/>
        <v>0.5803096987148977</v>
      </c>
      <c r="P190" s="84">
        <f t="shared" si="101"/>
        <v>5</v>
      </c>
      <c r="Q190" s="1">
        <f t="shared" si="93"/>
        <v>7.336875000000001</v>
      </c>
      <c r="R190" s="1">
        <f t="shared" si="94"/>
        <v>1722.1204227510398</v>
      </c>
      <c r="S190" s="1">
        <f t="shared" si="95"/>
        <v>12.228125000000002</v>
      </c>
      <c r="T190" s="60">
        <f t="shared" si="82"/>
        <v>14.673750000000002</v>
      </c>
      <c r="U190" s="101">
        <f t="shared" si="96"/>
        <v>21459.581151832463</v>
      </c>
      <c r="V190" s="102">
        <f t="shared" si="83"/>
        <v>8199.20436963351</v>
      </c>
      <c r="W190" s="102">
        <f t="shared" si="97"/>
        <v>17022.6</v>
      </c>
      <c r="X190" s="102">
        <f t="shared" si="98"/>
        <v>0</v>
      </c>
      <c r="Y190" s="103">
        <f t="shared" si="84"/>
        <v>15876</v>
      </c>
      <c r="AB190" s="76"/>
      <c r="AC190" s="76"/>
      <c r="AD190" s="76"/>
      <c r="AE190" s="77"/>
      <c r="AF190" s="78"/>
      <c r="AG190" s="24"/>
      <c r="AH190" s="53"/>
      <c r="AI190" s="53"/>
      <c r="AJ190" s="53"/>
      <c r="AK190" s="53"/>
      <c r="AL190" s="53"/>
      <c r="AM190" s="1"/>
      <c r="AN190" s="1"/>
    </row>
    <row r="191" spans="2:40" ht="12.75">
      <c r="B191" s="122">
        <f t="shared" si="79"/>
        <v>39225.060563615785</v>
      </c>
      <c r="C191">
        <v>0</v>
      </c>
      <c r="D191" s="2">
        <v>0</v>
      </c>
      <c r="E191">
        <v>0.6</v>
      </c>
      <c r="F191">
        <f t="shared" si="89"/>
        <v>98.29999999999974</v>
      </c>
      <c r="G191" s="1">
        <f t="shared" si="80"/>
        <v>856.5216000000004</v>
      </c>
      <c r="H191" s="1">
        <f>IF(G191-G190&gt;0,G191-G190,0)</f>
        <v>0</v>
      </c>
      <c r="I191">
        <v>60</v>
      </c>
      <c r="J191" s="64">
        <f t="shared" si="90"/>
        <v>60.000000000000014</v>
      </c>
      <c r="K191" s="117">
        <f t="shared" si="86"/>
        <v>0.00041666666666666653</v>
      </c>
      <c r="L191" s="1">
        <f t="shared" si="91"/>
        <v>46681.38552146597</v>
      </c>
      <c r="M191" s="1">
        <f t="shared" si="81"/>
        <v>9093.77640028558</v>
      </c>
      <c r="N191" s="1">
        <f t="shared" si="99"/>
        <v>21000</v>
      </c>
      <c r="O191" s="74">
        <f t="shared" si="92"/>
        <v>0.43303697144217046</v>
      </c>
      <c r="P191" s="84">
        <f t="shared" si="101"/>
        <v>4</v>
      </c>
      <c r="Q191" s="1">
        <f t="shared" si="93"/>
        <v>5.869499999999999</v>
      </c>
      <c r="R191" s="1">
        <f t="shared" si="94"/>
        <v>1727.9899227510398</v>
      </c>
      <c r="S191" s="1">
        <f t="shared" si="95"/>
        <v>9.782499999999999</v>
      </c>
      <c r="T191" s="60">
        <f t="shared" si="82"/>
        <v>11.738999999999997</v>
      </c>
      <c r="U191" s="101">
        <f t="shared" si="96"/>
        <v>21459.581151832463</v>
      </c>
      <c r="V191" s="102">
        <f t="shared" si="83"/>
        <v>8199.20436963351</v>
      </c>
      <c r="W191" s="102">
        <f t="shared" si="97"/>
        <v>17022.6</v>
      </c>
      <c r="X191" s="102">
        <f t="shared" si="98"/>
        <v>0</v>
      </c>
      <c r="Y191" s="103">
        <f t="shared" si="84"/>
        <v>0</v>
      </c>
      <c r="AB191" s="76"/>
      <c r="AC191" s="76"/>
      <c r="AD191" s="76"/>
      <c r="AE191" s="77"/>
      <c r="AF191" s="78"/>
      <c r="AG191" s="24"/>
      <c r="AH191" s="53"/>
      <c r="AI191" s="53"/>
      <c r="AJ191" s="53"/>
      <c r="AK191" s="53"/>
      <c r="AL191" s="53"/>
      <c r="AM191" s="1"/>
      <c r="AN191" s="1"/>
    </row>
    <row r="192" spans="2:40" ht="12.75">
      <c r="B192" s="122">
        <f t="shared" si="79"/>
        <v>39225.060980282455</v>
      </c>
      <c r="C192">
        <v>0</v>
      </c>
      <c r="D192" s="2">
        <v>0</v>
      </c>
      <c r="E192">
        <v>0.6</v>
      </c>
      <c r="F192">
        <f t="shared" si="89"/>
        <v>98.89999999999974</v>
      </c>
      <c r="G192" s="1">
        <f t="shared" si="80"/>
        <v>856.5216000000004</v>
      </c>
      <c r="H192" s="1">
        <f aca="true" t="shared" si="102" ref="H192:H213">IF(G192-G191&gt;0,G192-G191,0)</f>
        <v>0</v>
      </c>
      <c r="I192">
        <v>60</v>
      </c>
      <c r="J192" s="64">
        <f t="shared" si="90"/>
        <v>60.000000000000014</v>
      </c>
      <c r="K192" s="117">
        <f t="shared" si="86"/>
        <v>0.00041666666666666653</v>
      </c>
      <c r="L192" s="1">
        <f t="shared" si="91"/>
        <v>46681.38552146597</v>
      </c>
      <c r="M192" s="1">
        <f t="shared" si="81"/>
        <v>9093.77640028558</v>
      </c>
      <c r="N192" s="1">
        <f t="shared" si="99"/>
        <v>21000</v>
      </c>
      <c r="O192" s="74">
        <f t="shared" si="92"/>
        <v>0.43303697144217046</v>
      </c>
      <c r="P192" s="84">
        <f t="shared" si="101"/>
        <v>4</v>
      </c>
      <c r="Q192" s="1">
        <f t="shared" si="93"/>
        <v>5.869499999999999</v>
      </c>
      <c r="R192" s="1">
        <f t="shared" si="94"/>
        <v>1733.8594227510398</v>
      </c>
      <c r="S192" s="1">
        <f t="shared" si="95"/>
        <v>9.782499999999999</v>
      </c>
      <c r="T192" s="60">
        <f t="shared" si="82"/>
        <v>11.738999999999997</v>
      </c>
      <c r="U192" s="101">
        <f t="shared" si="96"/>
        <v>21459.581151832463</v>
      </c>
      <c r="V192" s="102">
        <f t="shared" si="83"/>
        <v>8199.20436963351</v>
      </c>
      <c r="W192" s="102">
        <f t="shared" si="97"/>
        <v>17022.6</v>
      </c>
      <c r="X192" s="102">
        <f t="shared" si="98"/>
        <v>0</v>
      </c>
      <c r="Y192" s="103">
        <f t="shared" si="84"/>
        <v>0</v>
      </c>
      <c r="AB192" s="76"/>
      <c r="AC192" s="76"/>
      <c r="AD192" s="76"/>
      <c r="AE192" s="77"/>
      <c r="AF192" s="78"/>
      <c r="AG192" s="24"/>
      <c r="AH192" s="53"/>
      <c r="AI192" s="53"/>
      <c r="AJ192" s="53"/>
      <c r="AK192" s="53"/>
      <c r="AL192" s="53"/>
      <c r="AM192" s="1"/>
      <c r="AN192" s="1"/>
    </row>
    <row r="193" spans="2:40" ht="12.75">
      <c r="B193" s="122">
        <f t="shared" si="79"/>
        <v>39225.061396949124</v>
      </c>
      <c r="C193">
        <v>0</v>
      </c>
      <c r="D193" s="2">
        <v>0</v>
      </c>
      <c r="E193">
        <v>0.6</v>
      </c>
      <c r="F193">
        <f t="shared" si="89"/>
        <v>99.49999999999973</v>
      </c>
      <c r="G193" s="1">
        <f t="shared" si="80"/>
        <v>856.5216000000004</v>
      </c>
      <c r="H193" s="1">
        <f t="shared" si="102"/>
        <v>0</v>
      </c>
      <c r="I193">
        <v>60</v>
      </c>
      <c r="J193" s="64">
        <f t="shared" si="90"/>
        <v>60.000000000000014</v>
      </c>
      <c r="K193" s="117">
        <f t="shared" si="86"/>
        <v>0.00041666666666666653</v>
      </c>
      <c r="L193" s="1">
        <f t="shared" si="91"/>
        <v>46681.38552146597</v>
      </c>
      <c r="M193" s="1">
        <f t="shared" si="81"/>
        <v>9093.77640028558</v>
      </c>
      <c r="N193" s="1">
        <f t="shared" si="99"/>
        <v>21000</v>
      </c>
      <c r="O193" s="74">
        <f t="shared" si="92"/>
        <v>0.43303697144217046</v>
      </c>
      <c r="P193" s="84">
        <f t="shared" si="101"/>
        <v>4</v>
      </c>
      <c r="Q193" s="1">
        <f t="shared" si="93"/>
        <v>5.869499999999999</v>
      </c>
      <c r="R193" s="1">
        <f t="shared" si="94"/>
        <v>1739.7289227510398</v>
      </c>
      <c r="S193" s="1">
        <f t="shared" si="95"/>
        <v>9.782499999999999</v>
      </c>
      <c r="T193" s="60">
        <f t="shared" si="82"/>
        <v>11.738999999999997</v>
      </c>
      <c r="U193" s="101">
        <f t="shared" si="96"/>
        <v>21459.581151832463</v>
      </c>
      <c r="V193" s="102">
        <f t="shared" si="83"/>
        <v>8199.20436963351</v>
      </c>
      <c r="W193" s="102">
        <f t="shared" si="97"/>
        <v>17022.6</v>
      </c>
      <c r="X193" s="102">
        <f t="shared" si="98"/>
        <v>0</v>
      </c>
      <c r="Y193" s="103">
        <f t="shared" si="84"/>
        <v>0</v>
      </c>
      <c r="AB193" s="76"/>
      <c r="AC193" s="76"/>
      <c r="AD193" s="76"/>
      <c r="AE193" s="77"/>
      <c r="AF193" s="78"/>
      <c r="AG193" s="24"/>
      <c r="AH193" s="53"/>
      <c r="AI193" s="53"/>
      <c r="AJ193" s="53"/>
      <c r="AK193" s="53"/>
      <c r="AL193" s="53"/>
      <c r="AM193" s="1"/>
      <c r="AN193" s="1"/>
    </row>
    <row r="194" spans="2:40" ht="12.75">
      <c r="B194" s="122">
        <f t="shared" si="79"/>
        <v>39225.061813615794</v>
      </c>
      <c r="C194">
        <v>2</v>
      </c>
      <c r="D194" s="2">
        <v>0</v>
      </c>
      <c r="E194">
        <v>0.6</v>
      </c>
      <c r="F194">
        <f t="shared" si="89"/>
        <v>100.09999999999972</v>
      </c>
      <c r="G194" s="1">
        <f t="shared" si="80"/>
        <v>856.5216000000004</v>
      </c>
      <c r="H194" s="1">
        <f t="shared" si="102"/>
        <v>0</v>
      </c>
      <c r="I194">
        <v>60</v>
      </c>
      <c r="J194" s="64">
        <f t="shared" si="90"/>
        <v>60</v>
      </c>
      <c r="K194" s="117">
        <f t="shared" si="86"/>
        <v>0.0004166666666666667</v>
      </c>
      <c r="L194" s="1">
        <f t="shared" si="91"/>
        <v>78434.45512146597</v>
      </c>
      <c r="M194" s="1">
        <f t="shared" si="81"/>
        <v>15279.439309376488</v>
      </c>
      <c r="N194" s="1">
        <f t="shared" si="99"/>
        <v>21000</v>
      </c>
      <c r="O194" s="74">
        <f t="shared" si="92"/>
        <v>0.7275923480655471</v>
      </c>
      <c r="P194" s="84">
        <f t="shared" si="101"/>
        <v>6</v>
      </c>
      <c r="Q194" s="1">
        <f t="shared" si="93"/>
        <v>8.80425</v>
      </c>
      <c r="R194" s="1">
        <f t="shared" si="94"/>
        <v>1748.5331727510397</v>
      </c>
      <c r="S194" s="1">
        <f t="shared" si="95"/>
        <v>14.67375</v>
      </c>
      <c r="T194" s="60">
        <f t="shared" si="82"/>
        <v>17.6085</v>
      </c>
      <c r="U194" s="101">
        <f t="shared" si="96"/>
        <v>21459.581151832463</v>
      </c>
      <c r="V194" s="102">
        <f t="shared" si="83"/>
        <v>8199.20436963351</v>
      </c>
      <c r="W194" s="102">
        <f t="shared" si="97"/>
        <v>17022.6</v>
      </c>
      <c r="X194" s="102">
        <f t="shared" si="98"/>
        <v>0</v>
      </c>
      <c r="Y194" s="103">
        <f t="shared" si="84"/>
        <v>31753.0696</v>
      </c>
      <c r="AB194" s="76"/>
      <c r="AC194" s="76"/>
      <c r="AD194" s="76"/>
      <c r="AE194" s="77"/>
      <c r="AF194" s="78"/>
      <c r="AG194" s="24"/>
      <c r="AH194" s="53"/>
      <c r="AI194" s="53"/>
      <c r="AJ194" s="53"/>
      <c r="AK194" s="53"/>
      <c r="AL194" s="53"/>
      <c r="AM194" s="1"/>
      <c r="AN194" s="1"/>
    </row>
    <row r="195" spans="2:40" ht="12.75">
      <c r="B195" s="122">
        <f t="shared" si="79"/>
        <v>39225.06223028246</v>
      </c>
      <c r="C195">
        <v>0</v>
      </c>
      <c r="D195" s="2">
        <v>0</v>
      </c>
      <c r="E195">
        <v>0.6</v>
      </c>
      <c r="F195">
        <f t="shared" si="89"/>
        <v>100.69999999999972</v>
      </c>
      <c r="G195" s="1">
        <f t="shared" si="80"/>
        <v>856.5216000000004</v>
      </c>
      <c r="H195" s="1">
        <f t="shared" si="102"/>
        <v>0</v>
      </c>
      <c r="I195">
        <v>60</v>
      </c>
      <c r="J195" s="64">
        <f t="shared" si="90"/>
        <v>60</v>
      </c>
      <c r="K195" s="117">
        <f t="shared" si="86"/>
        <v>0.0004166666666666667</v>
      </c>
      <c r="L195" s="1">
        <f t="shared" si="91"/>
        <v>78433.38552146597</v>
      </c>
      <c r="M195" s="1">
        <f t="shared" si="81"/>
        <v>15279.230945740124</v>
      </c>
      <c r="N195" s="1">
        <f t="shared" si="99"/>
        <v>21000</v>
      </c>
      <c r="O195" s="74">
        <f t="shared" si="92"/>
        <v>0.727582425987625</v>
      </c>
      <c r="P195" s="84">
        <f t="shared" si="101"/>
        <v>6</v>
      </c>
      <c r="Q195" s="1">
        <f t="shared" si="93"/>
        <v>8.80425</v>
      </c>
      <c r="R195" s="1">
        <f t="shared" si="94"/>
        <v>1757.3374227510396</v>
      </c>
      <c r="S195" s="1">
        <f t="shared" si="95"/>
        <v>14.67375</v>
      </c>
      <c r="T195" s="60">
        <f t="shared" si="82"/>
        <v>17.6085</v>
      </c>
      <c r="U195" s="101">
        <f t="shared" si="96"/>
        <v>21459.581151832463</v>
      </c>
      <c r="V195" s="102">
        <f t="shared" si="83"/>
        <v>8199.20436963351</v>
      </c>
      <c r="W195" s="102">
        <f t="shared" si="97"/>
        <v>17022.6</v>
      </c>
      <c r="X195" s="102">
        <f t="shared" si="98"/>
        <v>0</v>
      </c>
      <c r="Y195" s="103">
        <f t="shared" si="84"/>
        <v>31752</v>
      </c>
      <c r="AB195" s="76"/>
      <c r="AC195" s="76"/>
      <c r="AD195" s="76"/>
      <c r="AE195" s="77"/>
      <c r="AF195" s="78"/>
      <c r="AG195" s="24"/>
      <c r="AH195" s="53"/>
      <c r="AI195" s="53"/>
      <c r="AJ195" s="53"/>
      <c r="AK195" s="53"/>
      <c r="AL195" s="53"/>
      <c r="AM195" s="1"/>
      <c r="AN195" s="1"/>
    </row>
    <row r="196" spans="2:40" ht="12.75">
      <c r="B196" s="122">
        <f t="shared" si="79"/>
        <v>39225.06264694913</v>
      </c>
      <c r="C196">
        <v>0</v>
      </c>
      <c r="D196" s="2">
        <v>0</v>
      </c>
      <c r="E196">
        <v>0.6</v>
      </c>
      <c r="F196">
        <f t="shared" si="89"/>
        <v>101.29999999999971</v>
      </c>
      <c r="G196" s="1">
        <f t="shared" si="80"/>
        <v>856.5216000000004</v>
      </c>
      <c r="H196" s="1">
        <f t="shared" si="102"/>
        <v>0</v>
      </c>
      <c r="I196">
        <v>60</v>
      </c>
      <c r="J196" s="64">
        <f t="shared" si="90"/>
        <v>60.000000000000014</v>
      </c>
      <c r="K196" s="117">
        <f t="shared" si="86"/>
        <v>0.00041666666666666653</v>
      </c>
      <c r="L196" s="1">
        <f t="shared" si="91"/>
        <v>46681.38552146597</v>
      </c>
      <c r="M196" s="1">
        <f t="shared" si="81"/>
        <v>9093.77640028558</v>
      </c>
      <c r="N196" s="1">
        <f t="shared" si="99"/>
        <v>21000</v>
      </c>
      <c r="O196" s="74">
        <f t="shared" si="92"/>
        <v>0.43303697144217046</v>
      </c>
      <c r="P196" s="84">
        <f t="shared" si="101"/>
        <v>4</v>
      </c>
      <c r="Q196" s="1">
        <f t="shared" si="93"/>
        <v>5.869499999999999</v>
      </c>
      <c r="R196" s="1">
        <f t="shared" si="94"/>
        <v>1763.2069227510397</v>
      </c>
      <c r="S196" s="1">
        <f t="shared" si="95"/>
        <v>9.782499999999999</v>
      </c>
      <c r="T196" s="60">
        <f t="shared" si="82"/>
        <v>11.738999999999997</v>
      </c>
      <c r="U196" s="101">
        <f t="shared" si="96"/>
        <v>21459.581151832463</v>
      </c>
      <c r="V196" s="102">
        <f t="shared" si="83"/>
        <v>8199.20436963351</v>
      </c>
      <c r="W196" s="102">
        <f t="shared" si="97"/>
        <v>17022.6</v>
      </c>
      <c r="X196" s="102">
        <f t="shared" si="98"/>
        <v>0</v>
      </c>
      <c r="Y196" s="103">
        <f t="shared" si="84"/>
        <v>0</v>
      </c>
      <c r="AB196" s="76"/>
      <c r="AC196" s="76"/>
      <c r="AD196" s="76"/>
      <c r="AE196" s="77"/>
      <c r="AF196" s="78"/>
      <c r="AG196" s="24"/>
      <c r="AH196" s="53"/>
      <c r="AI196" s="53"/>
      <c r="AJ196" s="53"/>
      <c r="AK196" s="53"/>
      <c r="AL196" s="53"/>
      <c r="AM196" s="1"/>
      <c r="AN196" s="1"/>
    </row>
    <row r="197" spans="2:40" ht="12.75">
      <c r="B197" s="122">
        <f t="shared" si="79"/>
        <v>39225.0630636158</v>
      </c>
      <c r="C197">
        <v>2</v>
      </c>
      <c r="D197" s="2">
        <v>0</v>
      </c>
      <c r="E197">
        <v>0.6</v>
      </c>
      <c r="F197">
        <f t="shared" si="89"/>
        <v>101.89999999999971</v>
      </c>
      <c r="G197" s="1">
        <f t="shared" si="80"/>
        <v>856.5216000000004</v>
      </c>
      <c r="H197" s="1">
        <f t="shared" si="102"/>
        <v>0</v>
      </c>
      <c r="I197">
        <v>60</v>
      </c>
      <c r="J197" s="64">
        <f t="shared" si="90"/>
        <v>60</v>
      </c>
      <c r="K197" s="117">
        <f t="shared" si="86"/>
        <v>0.0004166666666666667</v>
      </c>
      <c r="L197" s="1">
        <f t="shared" si="91"/>
        <v>78434.45512146597</v>
      </c>
      <c r="M197" s="1">
        <f t="shared" si="81"/>
        <v>15279.439309376488</v>
      </c>
      <c r="N197" s="1">
        <f t="shared" si="99"/>
        <v>21000</v>
      </c>
      <c r="O197" s="74">
        <f t="shared" si="92"/>
        <v>0.7275923480655471</v>
      </c>
      <c r="P197" s="84">
        <f t="shared" si="101"/>
        <v>6</v>
      </c>
      <c r="Q197" s="1">
        <f t="shared" si="93"/>
        <v>8.80425</v>
      </c>
      <c r="R197" s="1">
        <f t="shared" si="94"/>
        <v>1772.0111727510396</v>
      </c>
      <c r="S197" s="1">
        <f t="shared" si="95"/>
        <v>14.67375</v>
      </c>
      <c r="T197" s="60">
        <f t="shared" si="82"/>
        <v>17.6085</v>
      </c>
      <c r="U197" s="101">
        <f t="shared" si="96"/>
        <v>21459.581151832463</v>
      </c>
      <c r="V197" s="102">
        <f t="shared" si="83"/>
        <v>8199.20436963351</v>
      </c>
      <c r="W197" s="102">
        <f t="shared" si="97"/>
        <v>17022.6</v>
      </c>
      <c r="X197" s="102">
        <f t="shared" si="98"/>
        <v>0</v>
      </c>
      <c r="Y197" s="103">
        <f t="shared" si="84"/>
        <v>31753.0696</v>
      </c>
      <c r="AB197" s="76"/>
      <c r="AC197" s="76"/>
      <c r="AD197" s="76"/>
      <c r="AE197" s="77"/>
      <c r="AF197" s="78"/>
      <c r="AG197" s="24"/>
      <c r="AH197" s="53"/>
      <c r="AI197" s="53"/>
      <c r="AJ197" s="53"/>
      <c r="AK197" s="53"/>
      <c r="AL197" s="53"/>
      <c r="AM197" s="1"/>
      <c r="AN197" s="1"/>
    </row>
    <row r="198" spans="2:40" ht="12.75">
      <c r="B198" s="122">
        <f t="shared" si="79"/>
        <v>39225.06348028247</v>
      </c>
      <c r="C198">
        <v>0</v>
      </c>
      <c r="D198" s="2">
        <v>0</v>
      </c>
      <c r="E198">
        <v>0.6</v>
      </c>
      <c r="F198">
        <f t="shared" si="89"/>
        <v>102.4999999999997</v>
      </c>
      <c r="G198" s="1">
        <f t="shared" si="80"/>
        <v>856.5216000000004</v>
      </c>
      <c r="H198" s="1">
        <f t="shared" si="102"/>
        <v>0</v>
      </c>
      <c r="I198">
        <v>60</v>
      </c>
      <c r="J198" s="64">
        <f t="shared" si="90"/>
        <v>60</v>
      </c>
      <c r="K198" s="117">
        <f t="shared" si="86"/>
        <v>0.0004166666666666667</v>
      </c>
      <c r="L198" s="1">
        <f t="shared" si="91"/>
        <v>78433.38552146597</v>
      </c>
      <c r="M198" s="1">
        <f t="shared" si="81"/>
        <v>15279.230945740124</v>
      </c>
      <c r="N198" s="1">
        <f t="shared" si="99"/>
        <v>21000</v>
      </c>
      <c r="O198" s="74">
        <f t="shared" si="92"/>
        <v>0.727582425987625</v>
      </c>
      <c r="P198" s="84">
        <f t="shared" si="101"/>
        <v>6</v>
      </c>
      <c r="Q198" s="1">
        <f t="shared" si="93"/>
        <v>8.80425</v>
      </c>
      <c r="R198" s="1">
        <f t="shared" si="94"/>
        <v>1780.8154227510395</v>
      </c>
      <c r="S198" s="1">
        <f t="shared" si="95"/>
        <v>14.67375</v>
      </c>
      <c r="T198" s="60">
        <f t="shared" si="82"/>
        <v>17.6085</v>
      </c>
      <c r="U198" s="101">
        <f t="shared" si="96"/>
        <v>21459.581151832463</v>
      </c>
      <c r="V198" s="102">
        <f t="shared" si="83"/>
        <v>8199.20436963351</v>
      </c>
      <c r="W198" s="102">
        <f t="shared" si="97"/>
        <v>17022.6</v>
      </c>
      <c r="X198" s="102">
        <f t="shared" si="98"/>
        <v>0</v>
      </c>
      <c r="Y198" s="103">
        <f t="shared" si="84"/>
        <v>31752</v>
      </c>
      <c r="AB198" s="76"/>
      <c r="AC198" s="76"/>
      <c r="AD198" s="76"/>
      <c r="AE198" s="77"/>
      <c r="AF198" s="78"/>
      <c r="AG198" s="24"/>
      <c r="AH198" s="53"/>
      <c r="AI198" s="53"/>
      <c r="AJ198" s="53"/>
      <c r="AK198" s="53"/>
      <c r="AL198" s="53"/>
      <c r="AM198" s="1"/>
      <c r="AN198" s="1"/>
    </row>
    <row r="199" spans="2:40" ht="12.75">
      <c r="B199" s="122">
        <f t="shared" si="79"/>
        <v>39225.06389694914</v>
      </c>
      <c r="C199">
        <v>1</v>
      </c>
      <c r="D199" s="2">
        <v>0</v>
      </c>
      <c r="E199">
        <v>0.6</v>
      </c>
      <c r="F199">
        <f t="shared" si="89"/>
        <v>103.0999999999997</v>
      </c>
      <c r="G199" s="1">
        <f t="shared" si="80"/>
        <v>856.5216000000004</v>
      </c>
      <c r="H199" s="1">
        <f t="shared" si="102"/>
        <v>0</v>
      </c>
      <c r="I199">
        <v>60</v>
      </c>
      <c r="J199" s="64">
        <f t="shared" si="90"/>
        <v>60</v>
      </c>
      <c r="K199" s="117">
        <f t="shared" si="86"/>
        <v>0.0004166666666666667</v>
      </c>
      <c r="L199" s="1">
        <f t="shared" si="91"/>
        <v>62557.92032146597</v>
      </c>
      <c r="M199" s="1">
        <f t="shared" si="81"/>
        <v>12186.607854831034</v>
      </c>
      <c r="N199" s="1">
        <f t="shared" si="99"/>
        <v>21000</v>
      </c>
      <c r="O199" s="74">
        <f t="shared" si="92"/>
        <v>0.5803146597538588</v>
      </c>
      <c r="P199" s="84">
        <f t="shared" si="101"/>
        <v>5</v>
      </c>
      <c r="Q199" s="1">
        <f t="shared" si="93"/>
        <v>7.336875000000001</v>
      </c>
      <c r="R199" s="1">
        <f t="shared" si="94"/>
        <v>1788.1522977510394</v>
      </c>
      <c r="S199" s="1">
        <f t="shared" si="95"/>
        <v>12.228125000000002</v>
      </c>
      <c r="T199" s="60">
        <f t="shared" si="82"/>
        <v>14.673750000000002</v>
      </c>
      <c r="U199" s="101">
        <f t="shared" si="96"/>
        <v>21459.581151832463</v>
      </c>
      <c r="V199" s="102">
        <f t="shared" si="83"/>
        <v>8199.20436963351</v>
      </c>
      <c r="W199" s="102">
        <f t="shared" si="97"/>
        <v>17022.6</v>
      </c>
      <c r="X199" s="102">
        <f t="shared" si="98"/>
        <v>0</v>
      </c>
      <c r="Y199" s="103">
        <f t="shared" si="84"/>
        <v>15876.5348</v>
      </c>
      <c r="AB199" s="76"/>
      <c r="AC199" s="76"/>
      <c r="AD199" s="76"/>
      <c r="AE199" s="77"/>
      <c r="AF199" s="78"/>
      <c r="AG199" s="24"/>
      <c r="AH199" s="53"/>
      <c r="AI199" s="53"/>
      <c r="AJ199" s="53"/>
      <c r="AK199" s="53"/>
      <c r="AL199" s="53"/>
      <c r="AM199" s="1"/>
      <c r="AN199" s="1"/>
    </row>
    <row r="200" spans="2:40" ht="12.75">
      <c r="B200" s="122">
        <f t="shared" si="79"/>
        <v>39225.06431361581</v>
      </c>
      <c r="C200">
        <v>0</v>
      </c>
      <c r="D200" s="2">
        <v>0</v>
      </c>
      <c r="E200">
        <v>0.6</v>
      </c>
      <c r="F200">
        <f t="shared" si="89"/>
        <v>103.69999999999969</v>
      </c>
      <c r="G200" s="1">
        <f t="shared" si="80"/>
        <v>856.5216000000004</v>
      </c>
      <c r="H200" s="1">
        <f t="shared" si="102"/>
        <v>0</v>
      </c>
      <c r="I200">
        <v>60</v>
      </c>
      <c r="J200" s="64">
        <f t="shared" si="90"/>
        <v>60</v>
      </c>
      <c r="K200" s="117">
        <f t="shared" si="86"/>
        <v>0.0004166666666666667</v>
      </c>
      <c r="L200" s="1">
        <f t="shared" si="91"/>
        <v>62557.38552146597</v>
      </c>
      <c r="M200" s="1">
        <f t="shared" si="81"/>
        <v>12186.503673012852</v>
      </c>
      <c r="N200" s="1">
        <f t="shared" si="99"/>
        <v>21000</v>
      </c>
      <c r="O200" s="74">
        <f t="shared" si="92"/>
        <v>0.5803096987148977</v>
      </c>
      <c r="P200" s="84">
        <f t="shared" si="101"/>
        <v>5</v>
      </c>
      <c r="Q200" s="1">
        <f t="shared" si="93"/>
        <v>7.336875000000001</v>
      </c>
      <c r="R200" s="1">
        <f t="shared" si="94"/>
        <v>1795.4891727510394</v>
      </c>
      <c r="S200" s="1">
        <f t="shared" si="95"/>
        <v>12.228125000000002</v>
      </c>
      <c r="T200" s="60">
        <f t="shared" si="82"/>
        <v>14.673750000000002</v>
      </c>
      <c r="U200" s="101">
        <f t="shared" si="96"/>
        <v>21459.581151832463</v>
      </c>
      <c r="V200" s="102">
        <f t="shared" si="83"/>
        <v>8199.20436963351</v>
      </c>
      <c r="W200" s="102">
        <f t="shared" si="97"/>
        <v>17022.6</v>
      </c>
      <c r="X200" s="102">
        <f t="shared" si="98"/>
        <v>0</v>
      </c>
      <c r="Y200" s="103">
        <f t="shared" si="84"/>
        <v>15876</v>
      </c>
      <c r="AB200" s="76"/>
      <c r="AC200" s="76"/>
      <c r="AD200" s="76"/>
      <c r="AE200" s="77"/>
      <c r="AF200" s="78"/>
      <c r="AG200" s="24"/>
      <c r="AH200" s="53"/>
      <c r="AI200" s="53"/>
      <c r="AJ200" s="53"/>
      <c r="AK200" s="53"/>
      <c r="AL200" s="53"/>
      <c r="AM200" s="1"/>
      <c r="AN200" s="1"/>
    </row>
    <row r="201" spans="2:40" ht="12.75">
      <c r="B201" s="122">
        <f t="shared" si="79"/>
        <v>39225.06473028248</v>
      </c>
      <c r="C201">
        <v>0</v>
      </c>
      <c r="D201" s="2">
        <v>0</v>
      </c>
      <c r="E201">
        <v>0.6</v>
      </c>
      <c r="F201">
        <f t="shared" si="89"/>
        <v>104.29999999999968</v>
      </c>
      <c r="G201" s="1">
        <f t="shared" si="80"/>
        <v>856.5216000000004</v>
      </c>
      <c r="H201" s="1">
        <f t="shared" si="102"/>
        <v>0</v>
      </c>
      <c r="I201">
        <v>60</v>
      </c>
      <c r="J201" s="64">
        <f t="shared" si="90"/>
        <v>60.000000000000014</v>
      </c>
      <c r="K201" s="117">
        <f t="shared" si="86"/>
        <v>0.00041666666666666653</v>
      </c>
      <c r="L201" s="1">
        <f t="shared" si="91"/>
        <v>46681.38552146597</v>
      </c>
      <c r="M201" s="1">
        <f t="shared" si="81"/>
        <v>9093.77640028558</v>
      </c>
      <c r="N201" s="1">
        <f t="shared" si="99"/>
        <v>21000</v>
      </c>
      <c r="O201" s="74">
        <f t="shared" si="92"/>
        <v>0.43303697144217046</v>
      </c>
      <c r="P201" s="84">
        <f t="shared" si="101"/>
        <v>4</v>
      </c>
      <c r="Q201" s="1">
        <f t="shared" si="93"/>
        <v>5.869499999999999</v>
      </c>
      <c r="R201" s="1">
        <f t="shared" si="94"/>
        <v>1801.3586727510394</v>
      </c>
      <c r="S201" s="1">
        <f t="shared" si="95"/>
        <v>9.782499999999999</v>
      </c>
      <c r="T201" s="60">
        <f t="shared" si="82"/>
        <v>11.738999999999997</v>
      </c>
      <c r="U201" s="101">
        <f t="shared" si="96"/>
        <v>21459.581151832463</v>
      </c>
      <c r="V201" s="102">
        <f t="shared" si="83"/>
        <v>8199.20436963351</v>
      </c>
      <c r="W201" s="102">
        <f t="shared" si="97"/>
        <v>17022.6</v>
      </c>
      <c r="X201" s="102">
        <f t="shared" si="98"/>
        <v>0</v>
      </c>
      <c r="Y201" s="103">
        <f t="shared" si="84"/>
        <v>0</v>
      </c>
      <c r="AB201" s="76"/>
      <c r="AC201" s="76"/>
      <c r="AD201" s="76"/>
      <c r="AE201" s="77"/>
      <c r="AF201" s="78"/>
      <c r="AG201" s="24"/>
      <c r="AH201" s="53"/>
      <c r="AI201" s="53"/>
      <c r="AJ201" s="53"/>
      <c r="AK201" s="53"/>
      <c r="AL201" s="53"/>
      <c r="AM201" s="1"/>
      <c r="AN201" s="1"/>
    </row>
    <row r="202" spans="2:40" ht="12.75">
      <c r="B202" s="122">
        <f t="shared" si="79"/>
        <v>39225.06514694915</v>
      </c>
      <c r="C202">
        <v>0</v>
      </c>
      <c r="D202" s="2">
        <v>0</v>
      </c>
      <c r="E202">
        <v>0.6</v>
      </c>
      <c r="F202">
        <f t="shared" si="89"/>
        <v>104.89999999999968</v>
      </c>
      <c r="G202" s="1">
        <f t="shared" si="80"/>
        <v>856.5216000000004</v>
      </c>
      <c r="H202" s="1">
        <f t="shared" si="102"/>
        <v>0</v>
      </c>
      <c r="I202">
        <v>60</v>
      </c>
      <c r="J202" s="64">
        <f t="shared" si="90"/>
        <v>60.000000000000014</v>
      </c>
      <c r="K202" s="117">
        <f t="shared" si="86"/>
        <v>0.00041666666666666653</v>
      </c>
      <c r="L202" s="1">
        <f t="shared" si="91"/>
        <v>46681.38552146597</v>
      </c>
      <c r="M202" s="1">
        <f t="shared" si="81"/>
        <v>9093.77640028558</v>
      </c>
      <c r="N202" s="1">
        <f t="shared" si="99"/>
        <v>21000</v>
      </c>
      <c r="O202" s="74">
        <f t="shared" si="92"/>
        <v>0.43303697144217046</v>
      </c>
      <c r="P202" s="84">
        <f t="shared" si="101"/>
        <v>4</v>
      </c>
      <c r="Q202" s="1">
        <f t="shared" si="93"/>
        <v>5.869499999999999</v>
      </c>
      <c r="R202" s="1">
        <f t="shared" si="94"/>
        <v>1807.2281727510394</v>
      </c>
      <c r="S202" s="1">
        <f t="shared" si="95"/>
        <v>9.782499999999999</v>
      </c>
      <c r="T202" s="60">
        <f t="shared" si="82"/>
        <v>11.738999999999997</v>
      </c>
      <c r="U202" s="101">
        <f t="shared" si="96"/>
        <v>21459.581151832463</v>
      </c>
      <c r="V202" s="102">
        <f t="shared" si="83"/>
        <v>8199.20436963351</v>
      </c>
      <c r="W202" s="102">
        <f t="shared" si="97"/>
        <v>17022.6</v>
      </c>
      <c r="X202" s="102">
        <f t="shared" si="98"/>
        <v>0</v>
      </c>
      <c r="Y202" s="103">
        <f t="shared" si="84"/>
        <v>0</v>
      </c>
      <c r="AB202" s="76"/>
      <c r="AC202" s="76"/>
      <c r="AD202" s="76"/>
      <c r="AE202" s="77"/>
      <c r="AF202" s="78"/>
      <c r="AG202" s="24"/>
      <c r="AH202" s="53"/>
      <c r="AI202" s="53"/>
      <c r="AJ202" s="53"/>
      <c r="AK202" s="53"/>
      <c r="AL202" s="53"/>
      <c r="AM202" s="1"/>
      <c r="AN202" s="1"/>
    </row>
    <row r="203" spans="2:40" ht="12.75">
      <c r="B203" s="122">
        <f aca="true" t="shared" si="103" ref="B203:B266">(B202+(K203))</f>
        <v>39225.06556361582</v>
      </c>
      <c r="C203">
        <v>0</v>
      </c>
      <c r="D203" s="2">
        <v>0</v>
      </c>
      <c r="E203">
        <v>0.6</v>
      </c>
      <c r="F203">
        <f t="shared" si="89"/>
        <v>105.49999999999967</v>
      </c>
      <c r="G203" s="1">
        <f aca="true" t="shared" si="104" ref="G203:G266">G202+E203*D203*5280</f>
        <v>856.5216000000004</v>
      </c>
      <c r="H203" s="1">
        <f t="shared" si="102"/>
        <v>0</v>
      </c>
      <c r="I203">
        <v>60</v>
      </c>
      <c r="J203" s="64">
        <f t="shared" si="90"/>
        <v>60.000000000000014</v>
      </c>
      <c r="K203" s="117">
        <f t="shared" si="86"/>
        <v>0.00041666666666666653</v>
      </c>
      <c r="L203" s="1">
        <f t="shared" si="91"/>
        <v>46681.38552146597</v>
      </c>
      <c r="M203" s="1">
        <f aca="true" t="shared" si="105" ref="M203:M266">$L203*$I203/308</f>
        <v>9093.77640028558</v>
      </c>
      <c r="N203" s="1">
        <f t="shared" si="99"/>
        <v>21000</v>
      </c>
      <c r="O203" s="74">
        <f t="shared" si="92"/>
        <v>0.43303697144217046</v>
      </c>
      <c r="P203" s="84">
        <f t="shared" si="101"/>
        <v>4</v>
      </c>
      <c r="Q203" s="1">
        <f t="shared" si="93"/>
        <v>5.869499999999999</v>
      </c>
      <c r="R203" s="1">
        <f t="shared" si="94"/>
        <v>1813.0976727510395</v>
      </c>
      <c r="S203" s="1">
        <f t="shared" si="95"/>
        <v>9.782499999999999</v>
      </c>
      <c r="T203" s="60">
        <f aca="true" t="shared" si="106" ref="T203:T266">Q203*$AB$15</f>
        <v>11.738999999999997</v>
      </c>
      <c r="U203" s="101">
        <f t="shared" si="96"/>
        <v>21459.581151832463</v>
      </c>
      <c r="V203" s="102">
        <f aca="true" t="shared" si="107" ref="V203:V266">$AB$11*(1.3+0.29/((VLOOKUP($AB$10,$AA$36:$AI$44,9,0))/VLOOKUP($AB$10,$AA$36:$AI$44,8,0)))+(1.3+0.29/((VLOOKUP($AB$12,$AA$27:$AH$33,7,0))/VLOOKUP($AB$12,$AA$27:$AH$33,8,0)))*$AE$7</f>
        <v>8199.20436963351</v>
      </c>
      <c r="W203" s="102">
        <f t="shared" si="97"/>
        <v>17022.6</v>
      </c>
      <c r="X203" s="102">
        <f t="shared" si="98"/>
        <v>0</v>
      </c>
      <c r="Y203" s="103">
        <f aca="true" t="shared" si="108" ref="Y203:Y266">(IF(E203*5280&lt;$AE$8,($AB$14*(0.8*C202*((VLOOKUP($AB$12,$AA$27:$AH$33,7,0))/2000/2000))*$AE$7),0)+$AB$11*(0.8*C203*(VLOOKUP($AB$10,$AA$36:$AI$44,9,0))/2000)+$AB$14*(0.8*C203*((VLOOKUP($AB$12,$AA$27:$AH$33,7,0))/2000/2000))*$AE$7)</f>
        <v>0</v>
      </c>
      <c r="AB203" s="76"/>
      <c r="AC203" s="76"/>
      <c r="AD203" s="76"/>
      <c r="AE203" s="77"/>
      <c r="AF203" s="78"/>
      <c r="AG203" s="24"/>
      <c r="AH203" s="53"/>
      <c r="AI203" s="53"/>
      <c r="AJ203" s="53"/>
      <c r="AK203" s="53"/>
      <c r="AL203" s="53"/>
      <c r="AM203" s="1"/>
      <c r="AN203" s="1"/>
    </row>
    <row r="204" spans="2:40" ht="12.75">
      <c r="B204" s="122">
        <f t="shared" si="103"/>
        <v>39225.06598028249</v>
      </c>
      <c r="C204">
        <v>3</v>
      </c>
      <c r="D204" s="2">
        <v>0</v>
      </c>
      <c r="E204">
        <v>0.6</v>
      </c>
      <c r="F204">
        <f t="shared" si="89"/>
        <v>106.09999999999967</v>
      </c>
      <c r="G204" s="1">
        <f t="shared" si="104"/>
        <v>856.5216000000004</v>
      </c>
      <c r="H204" s="1">
        <f t="shared" si="102"/>
        <v>0</v>
      </c>
      <c r="I204">
        <v>60</v>
      </c>
      <c r="J204" s="64">
        <f t="shared" si="90"/>
        <v>59.99999999999999</v>
      </c>
      <c r="K204" s="117">
        <f t="shared" si="86"/>
        <v>0.0004166666666666667</v>
      </c>
      <c r="L204" s="1">
        <f t="shared" si="91"/>
        <v>94310.98992146597</v>
      </c>
      <c r="M204" s="1">
        <f t="shared" si="105"/>
        <v>18372.27076392194</v>
      </c>
      <c r="N204" s="1">
        <f t="shared" si="99"/>
        <v>21000</v>
      </c>
      <c r="O204" s="74">
        <f t="shared" si="92"/>
        <v>0.8748700363772353</v>
      </c>
      <c r="P204" s="84">
        <f t="shared" si="101"/>
        <v>7</v>
      </c>
      <c r="Q204" s="1">
        <f t="shared" si="93"/>
        <v>10.271625</v>
      </c>
      <c r="R204" s="1">
        <f t="shared" si="94"/>
        <v>1823.3692977510395</v>
      </c>
      <c r="S204" s="1">
        <f t="shared" si="95"/>
        <v>17.119375</v>
      </c>
      <c r="T204" s="60">
        <f t="shared" si="106"/>
        <v>20.54325</v>
      </c>
      <c r="U204" s="101">
        <f t="shared" si="96"/>
        <v>21459.581151832463</v>
      </c>
      <c r="V204" s="102">
        <f t="shared" si="107"/>
        <v>8199.20436963351</v>
      </c>
      <c r="W204" s="102">
        <f t="shared" si="97"/>
        <v>17022.6</v>
      </c>
      <c r="X204" s="102">
        <f t="shared" si="98"/>
        <v>0</v>
      </c>
      <c r="Y204" s="103">
        <f t="shared" si="108"/>
        <v>47629.6044</v>
      </c>
      <c r="AB204" s="76"/>
      <c r="AC204" s="76"/>
      <c r="AD204" s="76"/>
      <c r="AE204" s="77"/>
      <c r="AF204" s="78"/>
      <c r="AG204" s="24"/>
      <c r="AH204" s="53"/>
      <c r="AI204" s="53"/>
      <c r="AJ204" s="53"/>
      <c r="AK204" s="53"/>
      <c r="AL204" s="53"/>
      <c r="AM204" s="1"/>
      <c r="AN204" s="1"/>
    </row>
    <row r="205" spans="2:40" ht="12.75">
      <c r="B205" s="122">
        <f t="shared" si="103"/>
        <v>39225.06653583804</v>
      </c>
      <c r="C205">
        <v>3</v>
      </c>
      <c r="D205" s="2">
        <v>0</v>
      </c>
      <c r="E205">
        <v>0.6</v>
      </c>
      <c r="F205">
        <f t="shared" si="89"/>
        <v>106.69999999999966</v>
      </c>
      <c r="G205" s="1">
        <f t="shared" si="104"/>
        <v>856.5216000000004</v>
      </c>
      <c r="H205" s="1">
        <f t="shared" si="102"/>
        <v>0</v>
      </c>
      <c r="I205">
        <v>45</v>
      </c>
      <c r="J205" s="64">
        <f t="shared" si="90"/>
        <v>45</v>
      </c>
      <c r="K205" s="117">
        <f t="shared" si="86"/>
        <v>0.0005555555555555556</v>
      </c>
      <c r="L205" s="1">
        <f t="shared" si="91"/>
        <v>128294.77316753927</v>
      </c>
      <c r="M205" s="1">
        <f t="shared" si="105"/>
        <v>18744.366209543074</v>
      </c>
      <c r="N205" s="1">
        <f t="shared" si="99"/>
        <v>21000</v>
      </c>
      <c r="O205" s="74">
        <f t="shared" si="92"/>
        <v>0.8925888671210988</v>
      </c>
      <c r="P205" s="84">
        <f t="shared" si="101"/>
        <v>8</v>
      </c>
      <c r="Q205" s="1">
        <f t="shared" si="93"/>
        <v>15.652</v>
      </c>
      <c r="R205" s="1">
        <f t="shared" si="94"/>
        <v>1839.0212977510396</v>
      </c>
      <c r="S205" s="1">
        <f t="shared" si="95"/>
        <v>26.086666666666666</v>
      </c>
      <c r="T205" s="60">
        <f t="shared" si="106"/>
        <v>31.304</v>
      </c>
      <c r="U205" s="101">
        <f t="shared" si="96"/>
        <v>12071.01439790576</v>
      </c>
      <c r="V205" s="102">
        <f t="shared" si="107"/>
        <v>8199.20436963351</v>
      </c>
      <c r="W205" s="102">
        <f t="shared" si="97"/>
        <v>12766.95</v>
      </c>
      <c r="X205" s="102">
        <f t="shared" si="98"/>
        <v>0</v>
      </c>
      <c r="Y205" s="103">
        <f t="shared" si="108"/>
        <v>95257.6044</v>
      </c>
      <c r="AB205" s="76"/>
      <c r="AC205" s="76"/>
      <c r="AD205" s="76"/>
      <c r="AE205" s="77"/>
      <c r="AF205" s="78"/>
      <c r="AG205" s="24"/>
      <c r="AH205" s="53"/>
      <c r="AI205" s="53"/>
      <c r="AJ205" s="53"/>
      <c r="AK205" s="53"/>
      <c r="AL205" s="53"/>
      <c r="AM205" s="1"/>
      <c r="AN205" s="1"/>
    </row>
    <row r="206" spans="2:40" ht="12.75">
      <c r="B206" s="122">
        <f t="shared" si="103"/>
        <v>39225.06695250471</v>
      </c>
      <c r="C206">
        <v>0</v>
      </c>
      <c r="D206" s="2">
        <v>0</v>
      </c>
      <c r="E206">
        <v>0.6</v>
      </c>
      <c r="F206">
        <f t="shared" si="89"/>
        <v>107.29999999999966</v>
      </c>
      <c r="G206" s="1">
        <f t="shared" si="104"/>
        <v>856.5216000000004</v>
      </c>
      <c r="H206" s="1">
        <f t="shared" si="102"/>
        <v>0</v>
      </c>
      <c r="I206">
        <v>60</v>
      </c>
      <c r="J206" s="64">
        <f t="shared" si="90"/>
        <v>59.99999999999999</v>
      </c>
      <c r="K206" s="117">
        <f t="shared" si="86"/>
        <v>0.0004166666666666667</v>
      </c>
      <c r="L206" s="1">
        <f t="shared" si="91"/>
        <v>94309.38552146597</v>
      </c>
      <c r="M206" s="1">
        <f t="shared" si="105"/>
        <v>18371.958218467396</v>
      </c>
      <c r="N206" s="1">
        <f t="shared" si="99"/>
        <v>21000</v>
      </c>
      <c r="O206" s="74">
        <f t="shared" si="92"/>
        <v>0.8748551532603522</v>
      </c>
      <c r="P206" s="84">
        <f t="shared" si="101"/>
        <v>7</v>
      </c>
      <c r="Q206" s="1">
        <f t="shared" si="93"/>
        <v>10.271625</v>
      </c>
      <c r="R206" s="1">
        <f t="shared" si="94"/>
        <v>1849.2929227510397</v>
      </c>
      <c r="S206" s="1">
        <f t="shared" si="95"/>
        <v>17.119375</v>
      </c>
      <c r="T206" s="60">
        <f t="shared" si="106"/>
        <v>20.54325</v>
      </c>
      <c r="U206" s="101">
        <f t="shared" si="96"/>
        <v>21459.581151832463</v>
      </c>
      <c r="V206" s="102">
        <f t="shared" si="107"/>
        <v>8199.20436963351</v>
      </c>
      <c r="W206" s="102">
        <f t="shared" si="97"/>
        <v>17022.6</v>
      </c>
      <c r="X206" s="102">
        <f t="shared" si="98"/>
        <v>0</v>
      </c>
      <c r="Y206" s="103">
        <f t="shared" si="108"/>
        <v>47628</v>
      </c>
      <c r="AB206" s="76"/>
      <c r="AC206" s="76"/>
      <c r="AD206" s="76"/>
      <c r="AE206" s="77"/>
      <c r="AF206" s="78"/>
      <c r="AG206" s="24"/>
      <c r="AH206" s="53"/>
      <c r="AI206" s="53"/>
      <c r="AJ206" s="53"/>
      <c r="AK206" s="53"/>
      <c r="AL206" s="53"/>
      <c r="AM206" s="1"/>
      <c r="AN206" s="1"/>
    </row>
    <row r="207" spans="2:40" ht="12.75">
      <c r="B207" s="122">
        <f t="shared" si="103"/>
        <v>39225.06736917138</v>
      </c>
      <c r="C207">
        <v>0</v>
      </c>
      <c r="D207" s="2">
        <v>0</v>
      </c>
      <c r="E207">
        <v>0.6</v>
      </c>
      <c r="F207">
        <f t="shared" si="89"/>
        <v>107.89999999999965</v>
      </c>
      <c r="G207" s="1">
        <f t="shared" si="104"/>
        <v>856.5216000000004</v>
      </c>
      <c r="H207" s="1">
        <f t="shared" si="102"/>
        <v>0</v>
      </c>
      <c r="I207">
        <v>60</v>
      </c>
      <c r="J207" s="64">
        <f t="shared" si="90"/>
        <v>60.000000000000014</v>
      </c>
      <c r="K207" s="117">
        <f t="shared" si="86"/>
        <v>0.00041666666666666653</v>
      </c>
      <c r="L207" s="1">
        <f t="shared" si="91"/>
        <v>46681.38552146597</v>
      </c>
      <c r="M207" s="1">
        <f t="shared" si="105"/>
        <v>9093.77640028558</v>
      </c>
      <c r="N207" s="1">
        <f t="shared" si="99"/>
        <v>21000</v>
      </c>
      <c r="O207" s="74">
        <f t="shared" si="92"/>
        <v>0.43303697144217046</v>
      </c>
      <c r="P207" s="84">
        <f t="shared" si="101"/>
        <v>4</v>
      </c>
      <c r="Q207" s="1">
        <f t="shared" si="93"/>
        <v>5.869499999999999</v>
      </c>
      <c r="R207" s="1">
        <f t="shared" si="94"/>
        <v>1855.1624227510397</v>
      </c>
      <c r="S207" s="1">
        <f t="shared" si="95"/>
        <v>9.782499999999999</v>
      </c>
      <c r="T207" s="60">
        <f t="shared" si="106"/>
        <v>11.738999999999997</v>
      </c>
      <c r="U207" s="101">
        <f t="shared" si="96"/>
        <v>21459.581151832463</v>
      </c>
      <c r="V207" s="102">
        <f t="shared" si="107"/>
        <v>8199.20436963351</v>
      </c>
      <c r="W207" s="102">
        <f t="shared" si="97"/>
        <v>17022.6</v>
      </c>
      <c r="X207" s="102">
        <f t="shared" si="98"/>
        <v>0</v>
      </c>
      <c r="Y207" s="103">
        <f t="shared" si="108"/>
        <v>0</v>
      </c>
      <c r="AB207" s="76"/>
      <c r="AC207" s="76"/>
      <c r="AD207" s="76"/>
      <c r="AE207" s="77"/>
      <c r="AF207" s="78"/>
      <c r="AG207" s="24"/>
      <c r="AH207" s="53"/>
      <c r="AI207" s="53"/>
      <c r="AJ207" s="53"/>
      <c r="AK207" s="53"/>
      <c r="AL207" s="53"/>
      <c r="AM207" s="1"/>
      <c r="AN207" s="1"/>
    </row>
    <row r="208" spans="2:40" ht="12.75">
      <c r="B208" s="122">
        <f t="shared" si="103"/>
        <v>39225.06778583805</v>
      </c>
      <c r="C208">
        <v>0</v>
      </c>
      <c r="D208" s="2">
        <v>0</v>
      </c>
      <c r="E208">
        <v>0.6</v>
      </c>
      <c r="F208">
        <f t="shared" si="89"/>
        <v>108.49999999999964</v>
      </c>
      <c r="G208" s="1">
        <f t="shared" si="104"/>
        <v>856.5216000000004</v>
      </c>
      <c r="H208" s="1">
        <f t="shared" si="102"/>
        <v>0</v>
      </c>
      <c r="I208">
        <v>60</v>
      </c>
      <c r="J208" s="64">
        <f t="shared" si="90"/>
        <v>60.000000000000014</v>
      </c>
      <c r="K208" s="117">
        <f t="shared" si="86"/>
        <v>0.00041666666666666653</v>
      </c>
      <c r="L208" s="1">
        <f t="shared" si="91"/>
        <v>46681.38552146597</v>
      </c>
      <c r="M208" s="1">
        <f t="shared" si="105"/>
        <v>9093.77640028558</v>
      </c>
      <c r="N208" s="1">
        <f t="shared" si="99"/>
        <v>21000</v>
      </c>
      <c r="O208" s="74">
        <f t="shared" si="92"/>
        <v>0.43303697144217046</v>
      </c>
      <c r="P208" s="84">
        <f t="shared" si="101"/>
        <v>4</v>
      </c>
      <c r="Q208" s="1">
        <f t="shared" si="93"/>
        <v>5.869499999999999</v>
      </c>
      <c r="R208" s="1">
        <f t="shared" si="94"/>
        <v>1861.0319227510397</v>
      </c>
      <c r="S208" s="1">
        <f t="shared" si="95"/>
        <v>9.782499999999999</v>
      </c>
      <c r="T208" s="60">
        <f t="shared" si="106"/>
        <v>11.738999999999997</v>
      </c>
      <c r="U208" s="101">
        <f t="shared" si="96"/>
        <v>21459.581151832463</v>
      </c>
      <c r="V208" s="102">
        <f t="shared" si="107"/>
        <v>8199.20436963351</v>
      </c>
      <c r="W208" s="102">
        <f t="shared" si="97"/>
        <v>17022.6</v>
      </c>
      <c r="X208" s="102">
        <f t="shared" si="98"/>
        <v>0</v>
      </c>
      <c r="Y208" s="103">
        <f t="shared" si="108"/>
        <v>0</v>
      </c>
      <c r="AB208" s="76"/>
      <c r="AC208" s="76"/>
      <c r="AD208" s="76"/>
      <c r="AE208" s="77"/>
      <c r="AF208" s="78"/>
      <c r="AG208" s="24"/>
      <c r="AH208" s="53"/>
      <c r="AI208" s="53"/>
      <c r="AJ208" s="53"/>
      <c r="AK208" s="53"/>
      <c r="AL208" s="53"/>
      <c r="AM208" s="1"/>
      <c r="AN208" s="1"/>
    </row>
    <row r="209" spans="2:40" ht="12.75">
      <c r="B209" s="122">
        <f t="shared" si="103"/>
        <v>39225.06820250472</v>
      </c>
      <c r="C209">
        <v>0</v>
      </c>
      <c r="D209" s="2">
        <v>0</v>
      </c>
      <c r="E209">
        <v>0.6</v>
      </c>
      <c r="F209">
        <f t="shared" si="89"/>
        <v>109.09999999999964</v>
      </c>
      <c r="G209" s="1">
        <f t="shared" si="104"/>
        <v>856.5216000000004</v>
      </c>
      <c r="H209" s="1">
        <f t="shared" si="102"/>
        <v>0</v>
      </c>
      <c r="I209">
        <v>60</v>
      </c>
      <c r="J209" s="64">
        <f t="shared" si="90"/>
        <v>60.000000000000014</v>
      </c>
      <c r="K209" s="117">
        <f aca="true" t="shared" si="109" ref="K209:K272">(E209/J209)/24</f>
        <v>0.00041666666666666653</v>
      </c>
      <c r="L209" s="1">
        <f t="shared" si="91"/>
        <v>46681.38552146597</v>
      </c>
      <c r="M209" s="1">
        <f t="shared" si="105"/>
        <v>9093.77640028558</v>
      </c>
      <c r="N209" s="1">
        <f t="shared" si="99"/>
        <v>21000</v>
      </c>
      <c r="O209" s="74">
        <f t="shared" si="92"/>
        <v>0.43303697144217046</v>
      </c>
      <c r="P209" s="84">
        <f t="shared" si="101"/>
        <v>4</v>
      </c>
      <c r="Q209" s="1">
        <f t="shared" si="93"/>
        <v>5.869499999999999</v>
      </c>
      <c r="R209" s="1">
        <f t="shared" si="94"/>
        <v>1866.9014227510397</v>
      </c>
      <c r="S209" s="1">
        <f t="shared" si="95"/>
        <v>9.782499999999999</v>
      </c>
      <c r="T209" s="60">
        <f t="shared" si="106"/>
        <v>11.738999999999997</v>
      </c>
      <c r="U209" s="101">
        <f t="shared" si="96"/>
        <v>21459.581151832463</v>
      </c>
      <c r="V209" s="102">
        <f t="shared" si="107"/>
        <v>8199.20436963351</v>
      </c>
      <c r="W209" s="102">
        <f t="shared" si="97"/>
        <v>17022.6</v>
      </c>
      <c r="X209" s="102">
        <f t="shared" si="98"/>
        <v>0</v>
      </c>
      <c r="Y209" s="103">
        <f t="shared" si="108"/>
        <v>0</v>
      </c>
      <c r="AB209" s="76"/>
      <c r="AC209" s="76"/>
      <c r="AD209" s="76"/>
      <c r="AE209" s="77"/>
      <c r="AF209" s="78"/>
      <c r="AG209" s="24"/>
      <c r="AH209" s="53"/>
      <c r="AI209" s="53"/>
      <c r="AJ209" s="53"/>
      <c r="AK209" s="53"/>
      <c r="AL209" s="53"/>
      <c r="AM209" s="1"/>
      <c r="AN209" s="1"/>
    </row>
    <row r="210" spans="2:40" ht="12.75">
      <c r="B210" s="122">
        <f t="shared" si="103"/>
        <v>39225.06861917139</v>
      </c>
      <c r="C210">
        <v>0</v>
      </c>
      <c r="D210" s="2">
        <v>0.004</v>
      </c>
      <c r="E210">
        <v>0.6</v>
      </c>
      <c r="F210">
        <f t="shared" si="89"/>
        <v>109.69999999999963</v>
      </c>
      <c r="G210" s="1">
        <f t="shared" si="104"/>
        <v>869.1936000000004</v>
      </c>
      <c r="H210" s="1">
        <f t="shared" si="102"/>
        <v>12.672000000000025</v>
      </c>
      <c r="I210">
        <v>60</v>
      </c>
      <c r="J210" s="64">
        <f t="shared" si="90"/>
        <v>60</v>
      </c>
      <c r="K210" s="117">
        <f t="shared" si="109"/>
        <v>0.0004166666666666667</v>
      </c>
      <c r="L210" s="1">
        <f t="shared" si="91"/>
        <v>92148.34552146596</v>
      </c>
      <c r="M210" s="1">
        <f t="shared" si="105"/>
        <v>17950.976400285577</v>
      </c>
      <c r="N210" s="1">
        <f t="shared" si="99"/>
        <v>21000</v>
      </c>
      <c r="O210" s="74">
        <f t="shared" si="92"/>
        <v>0.8548084000135989</v>
      </c>
      <c r="P210" s="84">
        <f t="shared" si="101"/>
        <v>6</v>
      </c>
      <c r="Q210" s="1">
        <f t="shared" si="93"/>
        <v>8.80425</v>
      </c>
      <c r="R210" s="1">
        <f t="shared" si="94"/>
        <v>1875.7056727510396</v>
      </c>
      <c r="S210" s="1">
        <f t="shared" si="95"/>
        <v>14.67375</v>
      </c>
      <c r="T210" s="60">
        <f t="shared" si="106"/>
        <v>17.6085</v>
      </c>
      <c r="U210" s="101">
        <f t="shared" si="96"/>
        <v>21459.581151832463</v>
      </c>
      <c r="V210" s="102">
        <f t="shared" si="107"/>
        <v>8199.20436963351</v>
      </c>
      <c r="W210" s="102">
        <f t="shared" si="97"/>
        <v>17022.6</v>
      </c>
      <c r="X210" s="102">
        <f t="shared" si="98"/>
        <v>45466.96</v>
      </c>
      <c r="Y210" s="103">
        <f t="shared" si="108"/>
        <v>0</v>
      </c>
      <c r="AB210" s="76"/>
      <c r="AC210" s="76"/>
      <c r="AD210" s="76"/>
      <c r="AE210" s="77"/>
      <c r="AF210" s="78"/>
      <c r="AG210" s="24"/>
      <c r="AH210" s="53"/>
      <c r="AI210" s="53"/>
      <c r="AJ210" s="53"/>
      <c r="AK210" s="53"/>
      <c r="AL210" s="53"/>
      <c r="AM210" s="1"/>
      <c r="AN210" s="1"/>
    </row>
    <row r="211" spans="2:40" ht="12.75">
      <c r="B211" s="122">
        <f t="shared" si="103"/>
        <v>39225.06903583806</v>
      </c>
      <c r="C211">
        <v>0</v>
      </c>
      <c r="D211" s="2">
        <v>-0.003</v>
      </c>
      <c r="E211">
        <v>0.6</v>
      </c>
      <c r="F211">
        <f t="shared" si="89"/>
        <v>110.29999999999963</v>
      </c>
      <c r="G211" s="1">
        <f t="shared" si="104"/>
        <v>859.6896000000004</v>
      </c>
      <c r="H211" s="1">
        <f t="shared" si="102"/>
        <v>0</v>
      </c>
      <c r="I211">
        <v>60</v>
      </c>
      <c r="J211" s="64">
        <f t="shared" si="90"/>
        <v>59.99999999999999</v>
      </c>
      <c r="K211" s="117">
        <f t="shared" si="109"/>
        <v>0.0004166666666666667</v>
      </c>
      <c r="L211" s="1">
        <f t="shared" si="91"/>
        <v>12581.16552146597</v>
      </c>
      <c r="M211" s="1">
        <f t="shared" si="105"/>
        <v>2450.8764002855783</v>
      </c>
      <c r="N211" s="1">
        <f t="shared" si="99"/>
        <v>21000</v>
      </c>
      <c r="O211" s="74">
        <f t="shared" si="92"/>
        <v>0.11670840001359896</v>
      </c>
      <c r="P211" s="84">
        <f t="shared" si="101"/>
        <v>1</v>
      </c>
      <c r="Q211" s="1">
        <f t="shared" si="93"/>
        <v>1.467375</v>
      </c>
      <c r="R211" s="1">
        <f t="shared" si="94"/>
        <v>1877.1730477510396</v>
      </c>
      <c r="S211" s="1">
        <f t="shared" si="95"/>
        <v>2.445625</v>
      </c>
      <c r="T211" s="60">
        <f t="shared" si="106"/>
        <v>2.93475</v>
      </c>
      <c r="U211" s="101">
        <f t="shared" si="96"/>
        <v>21459.581151832463</v>
      </c>
      <c r="V211" s="102">
        <f t="shared" si="107"/>
        <v>8199.20436963351</v>
      </c>
      <c r="W211" s="102">
        <f t="shared" si="97"/>
        <v>17022.6</v>
      </c>
      <c r="X211" s="102">
        <f t="shared" si="98"/>
        <v>-34100.22</v>
      </c>
      <c r="Y211" s="103">
        <f t="shared" si="108"/>
        <v>0</v>
      </c>
      <c r="AB211" s="76"/>
      <c r="AC211" s="76"/>
      <c r="AD211" s="76"/>
      <c r="AE211" s="77"/>
      <c r="AF211" s="78"/>
      <c r="AG211" s="24"/>
      <c r="AH211" s="53"/>
      <c r="AI211" s="53"/>
      <c r="AJ211" s="53"/>
      <c r="AK211" s="53"/>
      <c r="AL211" s="53"/>
      <c r="AM211" s="1"/>
      <c r="AN211" s="1"/>
    </row>
    <row r="212" spans="2:40" ht="12.75">
      <c r="B212" s="122">
        <f t="shared" si="103"/>
        <v>39225.06945250473</v>
      </c>
      <c r="C212">
        <v>0</v>
      </c>
      <c r="D212" s="2">
        <v>0.005</v>
      </c>
      <c r="E212">
        <v>0.6</v>
      </c>
      <c r="F212">
        <f t="shared" si="89"/>
        <v>110.89999999999962</v>
      </c>
      <c r="G212" s="1">
        <f t="shared" si="104"/>
        <v>875.5296000000004</v>
      </c>
      <c r="H212" s="1">
        <f t="shared" si="102"/>
        <v>15.840000000000032</v>
      </c>
      <c r="I212">
        <v>60</v>
      </c>
      <c r="J212" s="64">
        <f t="shared" si="90"/>
        <v>60</v>
      </c>
      <c r="K212" s="117">
        <f t="shared" si="109"/>
        <v>0.0004166666666666667</v>
      </c>
      <c r="L212" s="1">
        <f t="shared" si="91"/>
        <v>103515.08552146597</v>
      </c>
      <c r="M212" s="1">
        <f t="shared" si="105"/>
        <v>20165.27640028558</v>
      </c>
      <c r="N212" s="1">
        <f t="shared" si="99"/>
        <v>21000</v>
      </c>
      <c r="O212" s="74">
        <f t="shared" si="92"/>
        <v>0.9602512571564562</v>
      </c>
      <c r="P212" s="84">
        <f t="shared" si="101"/>
        <v>8</v>
      </c>
      <c r="Q212" s="1">
        <f t="shared" si="93"/>
        <v>11.739</v>
      </c>
      <c r="R212" s="1">
        <f t="shared" si="94"/>
        <v>1888.9120477510396</v>
      </c>
      <c r="S212" s="1">
        <f t="shared" si="95"/>
        <v>19.565</v>
      </c>
      <c r="T212" s="60">
        <f t="shared" si="106"/>
        <v>23.478</v>
      </c>
      <c r="U212" s="101">
        <f t="shared" si="96"/>
        <v>21459.581151832463</v>
      </c>
      <c r="V212" s="102">
        <f t="shared" si="107"/>
        <v>8199.20436963351</v>
      </c>
      <c r="W212" s="102">
        <f t="shared" si="97"/>
        <v>17022.6</v>
      </c>
      <c r="X212" s="102">
        <f t="shared" si="98"/>
        <v>56833.7</v>
      </c>
      <c r="Y212" s="103">
        <f t="shared" si="108"/>
        <v>0</v>
      </c>
      <c r="AB212" s="76"/>
      <c r="AC212" s="76"/>
      <c r="AD212" s="76"/>
      <c r="AE212" s="77"/>
      <c r="AF212" s="78"/>
      <c r="AG212" s="24"/>
      <c r="AH212" s="53"/>
      <c r="AI212" s="53"/>
      <c r="AJ212" s="53"/>
      <c r="AK212" s="53"/>
      <c r="AL212" s="53"/>
      <c r="AM212" s="1"/>
      <c r="AN212" s="1"/>
    </row>
    <row r="213" spans="2:40" ht="12.75">
      <c r="B213" s="122">
        <f t="shared" si="103"/>
        <v>39225.0698691714</v>
      </c>
      <c r="C213">
        <v>0</v>
      </c>
      <c r="D213" s="2">
        <v>-0.002</v>
      </c>
      <c r="E213">
        <v>0.6</v>
      </c>
      <c r="F213">
        <f t="shared" si="89"/>
        <v>111.49999999999962</v>
      </c>
      <c r="G213" s="1">
        <f t="shared" si="104"/>
        <v>869.1936000000004</v>
      </c>
      <c r="H213" s="1">
        <f t="shared" si="102"/>
        <v>0</v>
      </c>
      <c r="I213">
        <v>60</v>
      </c>
      <c r="J213" s="64">
        <f t="shared" si="90"/>
        <v>60</v>
      </c>
      <c r="K213" s="117">
        <f t="shared" si="109"/>
        <v>0.0004166666666666667</v>
      </c>
      <c r="L213" s="1">
        <f t="shared" si="91"/>
        <v>23947.90552146597</v>
      </c>
      <c r="M213" s="1">
        <f t="shared" si="105"/>
        <v>4665.176400285579</v>
      </c>
      <c r="N213" s="1">
        <f t="shared" si="99"/>
        <v>21000</v>
      </c>
      <c r="O213" s="74">
        <f t="shared" si="92"/>
        <v>0.22215125715645614</v>
      </c>
      <c r="P213" s="84">
        <f t="shared" si="101"/>
        <v>2</v>
      </c>
      <c r="Q213" s="1">
        <f t="shared" si="93"/>
        <v>2.93475</v>
      </c>
      <c r="R213" s="1">
        <f t="shared" si="94"/>
        <v>1891.8467977510395</v>
      </c>
      <c r="S213" s="1">
        <f t="shared" si="95"/>
        <v>4.89125</v>
      </c>
      <c r="T213" s="60">
        <f t="shared" si="106"/>
        <v>5.8695</v>
      </c>
      <c r="U213" s="101">
        <f t="shared" si="96"/>
        <v>21459.581151832463</v>
      </c>
      <c r="V213" s="102">
        <f t="shared" si="107"/>
        <v>8199.20436963351</v>
      </c>
      <c r="W213" s="102">
        <f t="shared" si="97"/>
        <v>17022.6</v>
      </c>
      <c r="X213" s="102">
        <f t="shared" si="98"/>
        <v>-22733.48</v>
      </c>
      <c r="Y213" s="103">
        <f t="shared" si="108"/>
        <v>0</v>
      </c>
      <c r="AB213" s="76"/>
      <c r="AC213" s="76"/>
      <c r="AD213" s="76"/>
      <c r="AE213" s="77"/>
      <c r="AF213" s="78"/>
      <c r="AG213" s="24"/>
      <c r="AH213" s="53"/>
      <c r="AI213" s="53"/>
      <c r="AJ213" s="53"/>
      <c r="AK213" s="53"/>
      <c r="AL213" s="53"/>
      <c r="AM213" s="1"/>
      <c r="AN213" s="1"/>
    </row>
    <row r="214" spans="2:40" ht="12.75">
      <c r="B214" s="122">
        <f t="shared" si="103"/>
        <v>39225.07028583807</v>
      </c>
      <c r="C214">
        <v>0</v>
      </c>
      <c r="D214" s="2">
        <v>-0.003</v>
      </c>
      <c r="E214">
        <v>0.6</v>
      </c>
      <c r="F214">
        <f t="shared" si="89"/>
        <v>112.09999999999961</v>
      </c>
      <c r="G214" s="1">
        <f t="shared" si="104"/>
        <v>859.6896000000004</v>
      </c>
      <c r="H214" s="1">
        <f>IF(G214-G213&gt;0,G214-G213,0)</f>
        <v>0</v>
      </c>
      <c r="I214">
        <v>60</v>
      </c>
      <c r="J214" s="64">
        <f t="shared" si="90"/>
        <v>59.99999999999999</v>
      </c>
      <c r="K214" s="117">
        <f t="shared" si="109"/>
        <v>0.0004166666666666667</v>
      </c>
      <c r="L214" s="1">
        <f t="shared" si="91"/>
        <v>12581.16552146597</v>
      </c>
      <c r="M214" s="1">
        <f t="shared" si="105"/>
        <v>2450.8764002855783</v>
      </c>
      <c r="N214" s="1">
        <f t="shared" si="99"/>
        <v>21000</v>
      </c>
      <c r="O214" s="74">
        <f t="shared" si="92"/>
        <v>0.11670840001359896</v>
      </c>
      <c r="P214" s="84">
        <f t="shared" si="101"/>
        <v>1</v>
      </c>
      <c r="Q214" s="1">
        <f t="shared" si="93"/>
        <v>1.467375</v>
      </c>
      <c r="R214" s="1">
        <f t="shared" si="94"/>
        <v>1893.3141727510395</v>
      </c>
      <c r="S214" s="1">
        <f t="shared" si="95"/>
        <v>2.445625</v>
      </c>
      <c r="T214" s="60">
        <f t="shared" si="106"/>
        <v>2.93475</v>
      </c>
      <c r="U214" s="101">
        <f t="shared" si="96"/>
        <v>21459.581151832463</v>
      </c>
      <c r="V214" s="102">
        <f t="shared" si="107"/>
        <v>8199.20436963351</v>
      </c>
      <c r="W214" s="102">
        <f t="shared" si="97"/>
        <v>17022.6</v>
      </c>
      <c r="X214" s="102">
        <f t="shared" si="98"/>
        <v>-34100.22</v>
      </c>
      <c r="Y214" s="103">
        <f t="shared" si="108"/>
        <v>0</v>
      </c>
      <c r="AB214" s="76"/>
      <c r="AC214" s="76"/>
      <c r="AD214" s="76"/>
      <c r="AE214" s="77"/>
      <c r="AF214" s="78"/>
      <c r="AG214" s="24"/>
      <c r="AH214" s="53"/>
      <c r="AI214" s="53"/>
      <c r="AJ214" s="53"/>
      <c r="AK214" s="53"/>
      <c r="AL214" s="53"/>
      <c r="AM214" s="1"/>
      <c r="AN214" s="1"/>
    </row>
    <row r="215" spans="2:40" ht="12.75">
      <c r="B215" s="122">
        <f t="shared" si="103"/>
        <v>39225.07070250474</v>
      </c>
      <c r="C215">
        <v>0</v>
      </c>
      <c r="D215" s="2">
        <v>0</v>
      </c>
      <c r="E215">
        <v>0.6</v>
      </c>
      <c r="F215">
        <f t="shared" si="89"/>
        <v>112.6999999999996</v>
      </c>
      <c r="G215" s="1">
        <f t="shared" si="104"/>
        <v>859.6896000000004</v>
      </c>
      <c r="H215" s="1">
        <f aca="true" t="shared" si="110" ref="H215:H227">IF(G215-G214&gt;0,G215-G214,0)</f>
        <v>0</v>
      </c>
      <c r="I215">
        <v>60</v>
      </c>
      <c r="J215" s="64">
        <f t="shared" si="90"/>
        <v>60.000000000000014</v>
      </c>
      <c r="K215" s="117">
        <f t="shared" si="109"/>
        <v>0.00041666666666666653</v>
      </c>
      <c r="L215" s="1">
        <f t="shared" si="91"/>
        <v>46681.38552146597</v>
      </c>
      <c r="M215" s="1">
        <f t="shared" si="105"/>
        <v>9093.77640028558</v>
      </c>
      <c r="N215" s="1">
        <f t="shared" si="99"/>
        <v>21000</v>
      </c>
      <c r="O215" s="74">
        <f t="shared" si="92"/>
        <v>0.43303697144217046</v>
      </c>
      <c r="P215" s="84">
        <f t="shared" si="101"/>
        <v>4</v>
      </c>
      <c r="Q215" s="1">
        <f t="shared" si="93"/>
        <v>5.869499999999999</v>
      </c>
      <c r="R215" s="1">
        <f t="shared" si="94"/>
        <v>1899.1836727510395</v>
      </c>
      <c r="S215" s="1">
        <f t="shared" si="95"/>
        <v>9.782499999999999</v>
      </c>
      <c r="T215" s="60">
        <f t="shared" si="106"/>
        <v>11.738999999999997</v>
      </c>
      <c r="U215" s="101">
        <f t="shared" si="96"/>
        <v>21459.581151832463</v>
      </c>
      <c r="V215" s="102">
        <f t="shared" si="107"/>
        <v>8199.20436963351</v>
      </c>
      <c r="W215" s="102">
        <f t="shared" si="97"/>
        <v>17022.6</v>
      </c>
      <c r="X215" s="102">
        <f t="shared" si="98"/>
        <v>0</v>
      </c>
      <c r="Y215" s="103">
        <f t="shared" si="108"/>
        <v>0</v>
      </c>
      <c r="AB215" s="76"/>
      <c r="AC215" s="76"/>
      <c r="AD215" s="76"/>
      <c r="AE215" s="77"/>
      <c r="AF215" s="78"/>
      <c r="AG215" s="24"/>
      <c r="AH215" s="53"/>
      <c r="AI215" s="53"/>
      <c r="AJ215" s="53"/>
      <c r="AK215" s="53"/>
      <c r="AL215" s="53"/>
      <c r="AM215" s="1"/>
      <c r="AN215" s="1"/>
    </row>
    <row r="216" spans="2:40" ht="12.75">
      <c r="B216" s="122">
        <f t="shared" si="103"/>
        <v>39225.07111917141</v>
      </c>
      <c r="C216">
        <v>0</v>
      </c>
      <c r="D216" s="2">
        <v>0</v>
      </c>
      <c r="E216">
        <v>0.6</v>
      </c>
      <c r="F216">
        <f t="shared" si="89"/>
        <v>113.2999999999996</v>
      </c>
      <c r="G216" s="1">
        <f t="shared" si="104"/>
        <v>859.6896000000004</v>
      </c>
      <c r="H216" s="1">
        <f t="shared" si="110"/>
        <v>0</v>
      </c>
      <c r="I216">
        <v>60</v>
      </c>
      <c r="J216" s="64">
        <f t="shared" si="90"/>
        <v>60.000000000000014</v>
      </c>
      <c r="K216" s="117">
        <f t="shared" si="109"/>
        <v>0.00041666666666666653</v>
      </c>
      <c r="L216" s="1">
        <f t="shared" si="91"/>
        <v>46681.38552146597</v>
      </c>
      <c r="M216" s="1">
        <f t="shared" si="105"/>
        <v>9093.77640028558</v>
      </c>
      <c r="N216" s="1">
        <f t="shared" si="99"/>
        <v>21000</v>
      </c>
      <c r="O216" s="74">
        <f t="shared" si="92"/>
        <v>0.43303697144217046</v>
      </c>
      <c r="P216" s="84">
        <f t="shared" si="101"/>
        <v>4</v>
      </c>
      <c r="Q216" s="1">
        <f t="shared" si="93"/>
        <v>5.869499999999999</v>
      </c>
      <c r="R216" s="1">
        <f t="shared" si="94"/>
        <v>1905.0531727510395</v>
      </c>
      <c r="S216" s="1">
        <f t="shared" si="95"/>
        <v>9.782499999999999</v>
      </c>
      <c r="T216" s="60">
        <f t="shared" si="106"/>
        <v>11.738999999999997</v>
      </c>
      <c r="U216" s="101">
        <f t="shared" si="96"/>
        <v>21459.581151832463</v>
      </c>
      <c r="V216" s="102">
        <f t="shared" si="107"/>
        <v>8199.20436963351</v>
      </c>
      <c r="W216" s="102">
        <f t="shared" si="97"/>
        <v>17022.6</v>
      </c>
      <c r="X216" s="102">
        <f t="shared" si="98"/>
        <v>0</v>
      </c>
      <c r="Y216" s="103">
        <f t="shared" si="108"/>
        <v>0</v>
      </c>
      <c r="AB216" s="76"/>
      <c r="AC216" s="76"/>
      <c r="AD216" s="76"/>
      <c r="AE216" s="77"/>
      <c r="AF216" s="78"/>
      <c r="AG216" s="24"/>
      <c r="AH216" s="53"/>
      <c r="AI216" s="53"/>
      <c r="AJ216" s="53"/>
      <c r="AK216" s="53"/>
      <c r="AL216" s="53"/>
      <c r="AM216" s="1"/>
      <c r="AN216" s="1"/>
    </row>
    <row r="217" spans="2:40" ht="12.75">
      <c r="B217" s="122">
        <f t="shared" si="103"/>
        <v>39225.07153583808</v>
      </c>
      <c r="C217">
        <v>3</v>
      </c>
      <c r="D217" s="2">
        <v>0</v>
      </c>
      <c r="E217">
        <v>0.6</v>
      </c>
      <c r="F217">
        <f t="shared" si="89"/>
        <v>113.8999999999996</v>
      </c>
      <c r="G217" s="1">
        <f t="shared" si="104"/>
        <v>859.6896000000004</v>
      </c>
      <c r="H217" s="1">
        <f t="shared" si="110"/>
        <v>0</v>
      </c>
      <c r="I217">
        <v>60</v>
      </c>
      <c r="J217" s="64">
        <f t="shared" si="90"/>
        <v>59.99999999999999</v>
      </c>
      <c r="K217" s="117">
        <f t="shared" si="109"/>
        <v>0.0004166666666666667</v>
      </c>
      <c r="L217" s="1">
        <f t="shared" si="91"/>
        <v>94310.98992146597</v>
      </c>
      <c r="M217" s="1">
        <f t="shared" si="105"/>
        <v>18372.27076392194</v>
      </c>
      <c r="N217" s="1">
        <f t="shared" si="99"/>
        <v>21000</v>
      </c>
      <c r="O217" s="74">
        <f t="shared" si="92"/>
        <v>0.8748700363772353</v>
      </c>
      <c r="P217" s="84">
        <f t="shared" si="101"/>
        <v>7</v>
      </c>
      <c r="Q217" s="1">
        <f t="shared" si="93"/>
        <v>10.271625</v>
      </c>
      <c r="R217" s="1">
        <f t="shared" si="94"/>
        <v>1915.3247977510396</v>
      </c>
      <c r="S217" s="1">
        <f t="shared" si="95"/>
        <v>17.119375</v>
      </c>
      <c r="T217" s="60">
        <f t="shared" si="106"/>
        <v>20.54325</v>
      </c>
      <c r="U217" s="101">
        <f t="shared" si="96"/>
        <v>21459.581151832463</v>
      </c>
      <c r="V217" s="102">
        <f t="shared" si="107"/>
        <v>8199.20436963351</v>
      </c>
      <c r="W217" s="102">
        <f t="shared" si="97"/>
        <v>17022.6</v>
      </c>
      <c r="X217" s="102">
        <f t="shared" si="98"/>
        <v>0</v>
      </c>
      <c r="Y217" s="103">
        <f t="shared" si="108"/>
        <v>47629.6044</v>
      </c>
      <c r="AB217" s="76"/>
      <c r="AC217" s="76"/>
      <c r="AD217" s="76"/>
      <c r="AE217" s="77"/>
      <c r="AF217" s="78"/>
      <c r="AG217" s="24"/>
      <c r="AH217" s="53"/>
      <c r="AI217" s="53"/>
      <c r="AJ217" s="53"/>
      <c r="AK217" s="53"/>
      <c r="AL217" s="53"/>
      <c r="AM217" s="1"/>
      <c r="AN217" s="1"/>
    </row>
    <row r="218" spans="2:40" ht="12.75">
      <c r="B218" s="122">
        <f t="shared" si="103"/>
        <v>39225.071952504746</v>
      </c>
      <c r="C218">
        <v>0</v>
      </c>
      <c r="D218" s="2">
        <v>0</v>
      </c>
      <c r="E218">
        <v>0.6</v>
      </c>
      <c r="F218">
        <f t="shared" si="89"/>
        <v>114.49999999999959</v>
      </c>
      <c r="G218" s="1">
        <f t="shared" si="104"/>
        <v>859.6896000000004</v>
      </c>
      <c r="H218" s="1">
        <f t="shared" si="110"/>
        <v>0</v>
      </c>
      <c r="I218">
        <v>60</v>
      </c>
      <c r="J218" s="64">
        <f t="shared" si="90"/>
        <v>59.99999999999999</v>
      </c>
      <c r="K218" s="117">
        <f t="shared" si="109"/>
        <v>0.0004166666666666667</v>
      </c>
      <c r="L218" s="1">
        <f t="shared" si="91"/>
        <v>94309.38552146597</v>
      </c>
      <c r="M218" s="1">
        <f t="shared" si="105"/>
        <v>18371.958218467396</v>
      </c>
      <c r="N218" s="1">
        <f t="shared" si="99"/>
        <v>21000</v>
      </c>
      <c r="O218" s="74">
        <f t="shared" si="92"/>
        <v>0.8748551532603522</v>
      </c>
      <c r="P218" s="84">
        <f t="shared" si="101"/>
        <v>7</v>
      </c>
      <c r="Q218" s="1">
        <f t="shared" si="93"/>
        <v>10.271625</v>
      </c>
      <c r="R218" s="1">
        <f t="shared" si="94"/>
        <v>1925.5964227510397</v>
      </c>
      <c r="S218" s="1">
        <f t="shared" si="95"/>
        <v>17.119375</v>
      </c>
      <c r="T218" s="60">
        <f t="shared" si="106"/>
        <v>20.54325</v>
      </c>
      <c r="U218" s="101">
        <f t="shared" si="96"/>
        <v>21459.581151832463</v>
      </c>
      <c r="V218" s="102">
        <f t="shared" si="107"/>
        <v>8199.20436963351</v>
      </c>
      <c r="W218" s="102">
        <f t="shared" si="97"/>
        <v>17022.6</v>
      </c>
      <c r="X218" s="102">
        <f t="shared" si="98"/>
        <v>0</v>
      </c>
      <c r="Y218" s="103">
        <f t="shared" si="108"/>
        <v>47628</v>
      </c>
      <c r="AB218" s="76"/>
      <c r="AC218" s="76"/>
      <c r="AD218" s="76"/>
      <c r="AE218" s="77"/>
      <c r="AF218" s="78"/>
      <c r="AG218" s="24"/>
      <c r="AH218" s="53"/>
      <c r="AI218" s="53"/>
      <c r="AJ218" s="53"/>
      <c r="AK218" s="53"/>
      <c r="AL218" s="53"/>
      <c r="AM218" s="1"/>
      <c r="AN218" s="1"/>
    </row>
    <row r="219" spans="2:40" ht="12.75">
      <c r="B219" s="122">
        <f t="shared" si="103"/>
        <v>39225.072369171416</v>
      </c>
      <c r="C219">
        <v>0</v>
      </c>
      <c r="D219" s="2">
        <v>0</v>
      </c>
      <c r="E219">
        <v>0.6</v>
      </c>
      <c r="F219">
        <f t="shared" si="89"/>
        <v>115.09999999999958</v>
      </c>
      <c r="G219" s="1">
        <f t="shared" si="104"/>
        <v>859.6896000000004</v>
      </c>
      <c r="H219" s="1">
        <f t="shared" si="110"/>
        <v>0</v>
      </c>
      <c r="I219">
        <v>60</v>
      </c>
      <c r="J219" s="64">
        <f t="shared" si="90"/>
        <v>60.000000000000014</v>
      </c>
      <c r="K219" s="117">
        <f t="shared" si="109"/>
        <v>0.00041666666666666653</v>
      </c>
      <c r="L219" s="1">
        <f t="shared" si="91"/>
        <v>46681.38552146597</v>
      </c>
      <c r="M219" s="1">
        <f t="shared" si="105"/>
        <v>9093.77640028558</v>
      </c>
      <c r="N219" s="1">
        <f t="shared" si="99"/>
        <v>21000</v>
      </c>
      <c r="O219" s="74">
        <f t="shared" si="92"/>
        <v>0.43303697144217046</v>
      </c>
      <c r="P219" s="84">
        <f t="shared" si="101"/>
        <v>4</v>
      </c>
      <c r="Q219" s="1">
        <f t="shared" si="93"/>
        <v>5.869499999999999</v>
      </c>
      <c r="R219" s="1">
        <f t="shared" si="94"/>
        <v>1931.4659227510397</v>
      </c>
      <c r="S219" s="1">
        <f t="shared" si="95"/>
        <v>9.782499999999999</v>
      </c>
      <c r="T219" s="60">
        <f t="shared" si="106"/>
        <v>11.738999999999997</v>
      </c>
      <c r="U219" s="101">
        <f t="shared" si="96"/>
        <v>21459.581151832463</v>
      </c>
      <c r="V219" s="102">
        <f t="shared" si="107"/>
        <v>8199.20436963351</v>
      </c>
      <c r="W219" s="102">
        <f t="shared" si="97"/>
        <v>17022.6</v>
      </c>
      <c r="X219" s="102">
        <f t="shared" si="98"/>
        <v>0</v>
      </c>
      <c r="Y219" s="103">
        <f t="shared" si="108"/>
        <v>0</v>
      </c>
      <c r="AB219" s="76"/>
      <c r="AC219" s="76"/>
      <c r="AD219" s="76"/>
      <c r="AE219" s="77"/>
      <c r="AF219" s="78"/>
      <c r="AG219" s="24"/>
      <c r="AH219" s="53"/>
      <c r="AI219" s="53"/>
      <c r="AJ219" s="53"/>
      <c r="AK219" s="53"/>
      <c r="AL219" s="53"/>
      <c r="AM219" s="1"/>
      <c r="AN219" s="1"/>
    </row>
    <row r="220" spans="2:40" ht="12.75">
      <c r="B220" s="122">
        <f t="shared" si="103"/>
        <v>39225.072785838085</v>
      </c>
      <c r="C220">
        <v>0</v>
      </c>
      <c r="D220" s="2">
        <v>0</v>
      </c>
      <c r="E220">
        <v>0.6</v>
      </c>
      <c r="F220">
        <f t="shared" si="89"/>
        <v>115.69999999999958</v>
      </c>
      <c r="G220" s="1">
        <f t="shared" si="104"/>
        <v>859.6896000000004</v>
      </c>
      <c r="H220" s="1">
        <f t="shared" si="110"/>
        <v>0</v>
      </c>
      <c r="I220">
        <v>60</v>
      </c>
      <c r="J220" s="64">
        <f t="shared" si="90"/>
        <v>60.000000000000014</v>
      </c>
      <c r="K220" s="117">
        <f t="shared" si="109"/>
        <v>0.00041666666666666653</v>
      </c>
      <c r="L220" s="1">
        <f t="shared" si="91"/>
        <v>46681.38552146597</v>
      </c>
      <c r="M220" s="1">
        <f t="shared" si="105"/>
        <v>9093.77640028558</v>
      </c>
      <c r="N220" s="1">
        <f t="shared" si="99"/>
        <v>21000</v>
      </c>
      <c r="O220" s="74">
        <f t="shared" si="92"/>
        <v>0.43303697144217046</v>
      </c>
      <c r="P220" s="84">
        <f t="shared" si="101"/>
        <v>4</v>
      </c>
      <c r="Q220" s="1">
        <f t="shared" si="93"/>
        <v>5.869499999999999</v>
      </c>
      <c r="R220" s="1">
        <f t="shared" si="94"/>
        <v>1937.3354227510397</v>
      </c>
      <c r="S220" s="1">
        <f t="shared" si="95"/>
        <v>9.782499999999999</v>
      </c>
      <c r="T220" s="60">
        <f t="shared" si="106"/>
        <v>11.738999999999997</v>
      </c>
      <c r="U220" s="101">
        <f t="shared" si="96"/>
        <v>21459.581151832463</v>
      </c>
      <c r="V220" s="102">
        <f t="shared" si="107"/>
        <v>8199.20436963351</v>
      </c>
      <c r="W220" s="102">
        <f t="shared" si="97"/>
        <v>17022.6</v>
      </c>
      <c r="X220" s="102">
        <f t="shared" si="98"/>
        <v>0</v>
      </c>
      <c r="Y220" s="103">
        <f t="shared" si="108"/>
        <v>0</v>
      </c>
      <c r="AB220" s="76"/>
      <c r="AC220" s="76"/>
      <c r="AD220" s="76"/>
      <c r="AE220" s="77"/>
      <c r="AF220" s="78"/>
      <c r="AG220" s="24"/>
      <c r="AH220" s="53"/>
      <c r="AI220" s="53"/>
      <c r="AJ220" s="53"/>
      <c r="AK220" s="53"/>
      <c r="AL220" s="53"/>
      <c r="AM220" s="1"/>
      <c r="AN220" s="1"/>
    </row>
    <row r="221" spans="2:40" ht="12.75">
      <c r="B221" s="122">
        <f t="shared" si="103"/>
        <v>39225.073202504755</v>
      </c>
      <c r="C221">
        <v>0</v>
      </c>
      <c r="D221" s="2">
        <v>0</v>
      </c>
      <c r="E221">
        <v>0.6</v>
      </c>
      <c r="F221">
        <f t="shared" si="89"/>
        <v>116.29999999999957</v>
      </c>
      <c r="G221" s="1">
        <f t="shared" si="104"/>
        <v>859.6896000000004</v>
      </c>
      <c r="H221" s="1">
        <f t="shared" si="110"/>
        <v>0</v>
      </c>
      <c r="I221">
        <v>60</v>
      </c>
      <c r="J221" s="64">
        <f t="shared" si="90"/>
        <v>60.000000000000014</v>
      </c>
      <c r="K221" s="117">
        <f t="shared" si="109"/>
        <v>0.00041666666666666653</v>
      </c>
      <c r="L221" s="1">
        <f t="shared" si="91"/>
        <v>46681.38552146597</v>
      </c>
      <c r="M221" s="1">
        <f t="shared" si="105"/>
        <v>9093.77640028558</v>
      </c>
      <c r="N221" s="1">
        <f t="shared" si="99"/>
        <v>21000</v>
      </c>
      <c r="O221" s="74">
        <f t="shared" si="92"/>
        <v>0.43303697144217046</v>
      </c>
      <c r="P221" s="84">
        <f t="shared" si="101"/>
        <v>4</v>
      </c>
      <c r="Q221" s="1">
        <f t="shared" si="93"/>
        <v>5.869499999999999</v>
      </c>
      <c r="R221" s="1">
        <f t="shared" si="94"/>
        <v>1943.2049227510397</v>
      </c>
      <c r="S221" s="1">
        <f t="shared" si="95"/>
        <v>9.782499999999999</v>
      </c>
      <c r="T221" s="60">
        <f t="shared" si="106"/>
        <v>11.738999999999997</v>
      </c>
      <c r="U221" s="101">
        <f t="shared" si="96"/>
        <v>21459.581151832463</v>
      </c>
      <c r="V221" s="102">
        <f t="shared" si="107"/>
        <v>8199.20436963351</v>
      </c>
      <c r="W221" s="102">
        <f t="shared" si="97"/>
        <v>17022.6</v>
      </c>
      <c r="X221" s="102">
        <f t="shared" si="98"/>
        <v>0</v>
      </c>
      <c r="Y221" s="103">
        <f t="shared" si="108"/>
        <v>0</v>
      </c>
      <c r="AB221" s="76"/>
      <c r="AC221" s="76"/>
      <c r="AD221" s="76"/>
      <c r="AE221" s="77"/>
      <c r="AF221" s="78"/>
      <c r="AG221" s="24"/>
      <c r="AH221" s="53"/>
      <c r="AI221" s="53"/>
      <c r="AJ221" s="53"/>
      <c r="AK221" s="53"/>
      <c r="AL221" s="53"/>
      <c r="AM221" s="1"/>
      <c r="AN221" s="1"/>
    </row>
    <row r="222" spans="2:40" ht="12.75">
      <c r="B222" s="122">
        <f t="shared" si="103"/>
        <v>39225.073619171424</v>
      </c>
      <c r="C222">
        <v>0</v>
      </c>
      <c r="D222" s="2">
        <v>0</v>
      </c>
      <c r="E222">
        <v>0.6</v>
      </c>
      <c r="F222">
        <f t="shared" si="89"/>
        <v>116.89999999999957</v>
      </c>
      <c r="G222" s="1">
        <f t="shared" si="104"/>
        <v>859.6896000000004</v>
      </c>
      <c r="H222" s="1">
        <f t="shared" si="110"/>
        <v>0</v>
      </c>
      <c r="I222">
        <v>60</v>
      </c>
      <c r="J222" s="64">
        <f t="shared" si="90"/>
        <v>60.000000000000014</v>
      </c>
      <c r="K222" s="117">
        <f t="shared" si="109"/>
        <v>0.00041666666666666653</v>
      </c>
      <c r="L222" s="1">
        <f t="shared" si="91"/>
        <v>46681.38552146597</v>
      </c>
      <c r="M222" s="1">
        <f t="shared" si="105"/>
        <v>9093.77640028558</v>
      </c>
      <c r="N222" s="1">
        <f t="shared" si="99"/>
        <v>21000</v>
      </c>
      <c r="O222" s="74">
        <f t="shared" si="92"/>
        <v>0.43303697144217046</v>
      </c>
      <c r="P222" s="84">
        <f t="shared" si="101"/>
        <v>4</v>
      </c>
      <c r="Q222" s="1">
        <f t="shared" si="93"/>
        <v>5.869499999999999</v>
      </c>
      <c r="R222" s="1">
        <f t="shared" si="94"/>
        <v>1949.0744227510397</v>
      </c>
      <c r="S222" s="1">
        <f t="shared" si="95"/>
        <v>9.782499999999999</v>
      </c>
      <c r="T222" s="60">
        <f t="shared" si="106"/>
        <v>11.738999999999997</v>
      </c>
      <c r="U222" s="101">
        <f t="shared" si="96"/>
        <v>21459.581151832463</v>
      </c>
      <c r="V222" s="102">
        <f t="shared" si="107"/>
        <v>8199.20436963351</v>
      </c>
      <c r="W222" s="102">
        <f t="shared" si="97"/>
        <v>17022.6</v>
      </c>
      <c r="X222" s="102">
        <f t="shared" si="98"/>
        <v>0</v>
      </c>
      <c r="Y222" s="103">
        <f t="shared" si="108"/>
        <v>0</v>
      </c>
      <c r="AB222" s="76"/>
      <c r="AC222" s="76"/>
      <c r="AD222" s="76"/>
      <c r="AE222" s="77"/>
      <c r="AF222" s="78"/>
      <c r="AG222" s="24"/>
      <c r="AH222" s="53"/>
      <c r="AI222" s="53"/>
      <c r="AJ222" s="53"/>
      <c r="AK222" s="53"/>
      <c r="AL222" s="53"/>
      <c r="AM222" s="1"/>
      <c r="AN222" s="1"/>
    </row>
    <row r="223" spans="2:40" ht="12.75">
      <c r="B223" s="122">
        <f t="shared" si="103"/>
        <v>39225.07403583809</v>
      </c>
      <c r="C223">
        <v>0</v>
      </c>
      <c r="D223" s="2">
        <v>0</v>
      </c>
      <c r="E223">
        <v>0.6</v>
      </c>
      <c r="F223">
        <f t="shared" si="89"/>
        <v>117.49999999999956</v>
      </c>
      <c r="G223" s="1">
        <f t="shared" si="104"/>
        <v>859.6896000000004</v>
      </c>
      <c r="H223" s="1">
        <f t="shared" si="110"/>
        <v>0</v>
      </c>
      <c r="I223">
        <v>60</v>
      </c>
      <c r="J223" s="64">
        <f t="shared" si="90"/>
        <v>60.000000000000014</v>
      </c>
      <c r="K223" s="117">
        <f t="shared" si="109"/>
        <v>0.00041666666666666653</v>
      </c>
      <c r="L223" s="1">
        <f t="shared" si="91"/>
        <v>46681.38552146597</v>
      </c>
      <c r="M223" s="1">
        <f t="shared" si="105"/>
        <v>9093.77640028558</v>
      </c>
      <c r="N223" s="1">
        <f t="shared" si="99"/>
        <v>21000</v>
      </c>
      <c r="O223" s="74">
        <f t="shared" si="92"/>
        <v>0.43303697144217046</v>
      </c>
      <c r="P223" s="84">
        <f t="shared" si="101"/>
        <v>4</v>
      </c>
      <c r="Q223" s="1">
        <f t="shared" si="93"/>
        <v>5.869499999999999</v>
      </c>
      <c r="R223" s="1">
        <f t="shared" si="94"/>
        <v>1954.9439227510397</v>
      </c>
      <c r="S223" s="1">
        <f t="shared" si="95"/>
        <v>9.782499999999999</v>
      </c>
      <c r="T223" s="60">
        <f t="shared" si="106"/>
        <v>11.738999999999997</v>
      </c>
      <c r="U223" s="101">
        <f t="shared" si="96"/>
        <v>21459.581151832463</v>
      </c>
      <c r="V223" s="102">
        <f t="shared" si="107"/>
        <v>8199.20436963351</v>
      </c>
      <c r="W223" s="102">
        <f t="shared" si="97"/>
        <v>17022.6</v>
      </c>
      <c r="X223" s="102">
        <f t="shared" si="98"/>
        <v>0</v>
      </c>
      <c r="Y223" s="103">
        <f t="shared" si="108"/>
        <v>0</v>
      </c>
      <c r="AB223" s="76"/>
      <c r="AC223" s="76"/>
      <c r="AD223" s="76"/>
      <c r="AE223" s="77"/>
      <c r="AF223" s="78"/>
      <c r="AG223" s="24"/>
      <c r="AH223" s="53"/>
      <c r="AI223" s="53"/>
      <c r="AJ223" s="53"/>
      <c r="AK223" s="53"/>
      <c r="AL223" s="53"/>
      <c r="AM223" s="1"/>
      <c r="AN223" s="1"/>
    </row>
    <row r="224" spans="2:40" ht="12.75">
      <c r="B224" s="122">
        <f t="shared" si="103"/>
        <v>39225.07445250476</v>
      </c>
      <c r="C224">
        <v>0</v>
      </c>
      <c r="D224" s="2">
        <v>0</v>
      </c>
      <c r="E224">
        <v>0.6</v>
      </c>
      <c r="F224">
        <f t="shared" si="89"/>
        <v>118.09999999999955</v>
      </c>
      <c r="G224" s="1">
        <f t="shared" si="104"/>
        <v>859.6896000000004</v>
      </c>
      <c r="H224" s="1">
        <f t="shared" si="110"/>
        <v>0</v>
      </c>
      <c r="I224">
        <v>60</v>
      </c>
      <c r="J224" s="64">
        <f t="shared" si="90"/>
        <v>60.000000000000014</v>
      </c>
      <c r="K224" s="117">
        <f t="shared" si="109"/>
        <v>0.00041666666666666653</v>
      </c>
      <c r="L224" s="1">
        <f t="shared" si="91"/>
        <v>46681.38552146597</v>
      </c>
      <c r="M224" s="1">
        <f t="shared" si="105"/>
        <v>9093.77640028558</v>
      </c>
      <c r="N224" s="1">
        <f t="shared" si="99"/>
        <v>21000</v>
      </c>
      <c r="O224" s="74">
        <f t="shared" si="92"/>
        <v>0.43303697144217046</v>
      </c>
      <c r="P224" s="84">
        <f t="shared" si="101"/>
        <v>4</v>
      </c>
      <c r="Q224" s="1">
        <f t="shared" si="93"/>
        <v>5.869499999999999</v>
      </c>
      <c r="R224" s="1">
        <f t="shared" si="94"/>
        <v>1960.8134227510398</v>
      </c>
      <c r="S224" s="1">
        <f t="shared" si="95"/>
        <v>9.782499999999999</v>
      </c>
      <c r="T224" s="60">
        <f t="shared" si="106"/>
        <v>11.738999999999997</v>
      </c>
      <c r="U224" s="101">
        <f t="shared" si="96"/>
        <v>21459.581151832463</v>
      </c>
      <c r="V224" s="102">
        <f t="shared" si="107"/>
        <v>8199.20436963351</v>
      </c>
      <c r="W224" s="102">
        <f t="shared" si="97"/>
        <v>17022.6</v>
      </c>
      <c r="X224" s="102">
        <f t="shared" si="98"/>
        <v>0</v>
      </c>
      <c r="Y224" s="103">
        <f t="shared" si="108"/>
        <v>0</v>
      </c>
      <c r="AB224" s="76"/>
      <c r="AC224" s="76"/>
      <c r="AD224" s="76"/>
      <c r="AE224" s="77"/>
      <c r="AF224" s="78"/>
      <c r="AG224" s="24"/>
      <c r="AH224" s="53"/>
      <c r="AI224" s="53"/>
      <c r="AJ224" s="53"/>
      <c r="AK224" s="53"/>
      <c r="AL224" s="53"/>
      <c r="AM224" s="1"/>
      <c r="AN224" s="1"/>
    </row>
    <row r="225" spans="2:40" ht="12.75">
      <c r="B225" s="122">
        <f t="shared" si="103"/>
        <v>39225.07486917143</v>
      </c>
      <c r="C225">
        <v>0</v>
      </c>
      <c r="D225" s="2">
        <v>0</v>
      </c>
      <c r="E225">
        <v>0.6</v>
      </c>
      <c r="F225">
        <f t="shared" si="89"/>
        <v>118.69999999999955</v>
      </c>
      <c r="G225" s="1">
        <f t="shared" si="104"/>
        <v>859.6896000000004</v>
      </c>
      <c r="H225" s="1">
        <f t="shared" si="110"/>
        <v>0</v>
      </c>
      <c r="I225">
        <v>60</v>
      </c>
      <c r="J225" s="64">
        <f t="shared" si="90"/>
        <v>60.000000000000014</v>
      </c>
      <c r="K225" s="117">
        <f t="shared" si="109"/>
        <v>0.00041666666666666653</v>
      </c>
      <c r="L225" s="1">
        <f t="shared" si="91"/>
        <v>46681.38552146597</v>
      </c>
      <c r="M225" s="1">
        <f t="shared" si="105"/>
        <v>9093.77640028558</v>
      </c>
      <c r="N225" s="1">
        <f t="shared" si="99"/>
        <v>21000</v>
      </c>
      <c r="O225" s="74">
        <f t="shared" si="92"/>
        <v>0.43303697144217046</v>
      </c>
      <c r="P225" s="84">
        <f t="shared" si="101"/>
        <v>4</v>
      </c>
      <c r="Q225" s="1">
        <f t="shared" si="93"/>
        <v>5.869499999999999</v>
      </c>
      <c r="R225" s="1">
        <f t="shared" si="94"/>
        <v>1966.6829227510398</v>
      </c>
      <c r="S225" s="1">
        <f t="shared" si="95"/>
        <v>9.782499999999999</v>
      </c>
      <c r="T225" s="60">
        <f t="shared" si="106"/>
        <v>11.738999999999997</v>
      </c>
      <c r="U225" s="101">
        <f t="shared" si="96"/>
        <v>21459.581151832463</v>
      </c>
      <c r="V225" s="102">
        <f t="shared" si="107"/>
        <v>8199.20436963351</v>
      </c>
      <c r="W225" s="102">
        <f t="shared" si="97"/>
        <v>17022.6</v>
      </c>
      <c r="X225" s="102">
        <f t="shared" si="98"/>
        <v>0</v>
      </c>
      <c r="Y225" s="103">
        <f t="shared" si="108"/>
        <v>0</v>
      </c>
      <c r="AB225" s="76"/>
      <c r="AC225" s="76"/>
      <c r="AD225" s="76"/>
      <c r="AE225" s="77"/>
      <c r="AF225" s="78"/>
      <c r="AG225" s="24"/>
      <c r="AH225" s="53"/>
      <c r="AI225" s="53"/>
      <c r="AJ225" s="53"/>
      <c r="AK225" s="53"/>
      <c r="AL225" s="53"/>
      <c r="AM225" s="1"/>
      <c r="AN225" s="1"/>
    </row>
    <row r="226" spans="2:40" ht="12.75">
      <c r="B226" s="122">
        <f t="shared" si="103"/>
        <v>39225.07535643202</v>
      </c>
      <c r="C226">
        <v>5</v>
      </c>
      <c r="D226" s="2">
        <v>0</v>
      </c>
      <c r="E226">
        <v>0.6</v>
      </c>
      <c r="F226">
        <f t="shared" si="89"/>
        <v>119.29999999999954</v>
      </c>
      <c r="G226" s="1">
        <f t="shared" si="104"/>
        <v>859.6896000000004</v>
      </c>
      <c r="H226" s="1">
        <f t="shared" si="110"/>
        <v>0</v>
      </c>
      <c r="I226">
        <v>60</v>
      </c>
      <c r="J226" s="64">
        <f t="shared" si="90"/>
        <v>51.30724827165066</v>
      </c>
      <c r="K226" s="117">
        <f t="shared" si="109"/>
        <v>0.0004872605887502549</v>
      </c>
      <c r="L226" s="1">
        <f t="shared" si="91"/>
        <v>126064.05952146597</v>
      </c>
      <c r="M226" s="1">
        <f t="shared" si="105"/>
        <v>24557.93367301285</v>
      </c>
      <c r="N226" s="1">
        <f t="shared" si="99"/>
        <v>21000</v>
      </c>
      <c r="O226" s="74">
        <f t="shared" si="92"/>
        <v>1.1694254130006119</v>
      </c>
      <c r="P226" s="84">
        <f t="shared" si="101"/>
        <v>8</v>
      </c>
      <c r="Q226" s="1">
        <f t="shared" si="93"/>
        <v>13.727884923214184</v>
      </c>
      <c r="R226" s="1">
        <f t="shared" si="94"/>
        <v>1980.4108076742539</v>
      </c>
      <c r="S226" s="1">
        <f t="shared" si="95"/>
        <v>22.879808205356973</v>
      </c>
      <c r="T226" s="60">
        <f t="shared" si="106"/>
        <v>27.455769846428367</v>
      </c>
      <c r="U226" s="101">
        <f t="shared" si="96"/>
        <v>21459.581151832463</v>
      </c>
      <c r="V226" s="102">
        <f t="shared" si="107"/>
        <v>8199.20436963351</v>
      </c>
      <c r="W226" s="102">
        <f t="shared" si="97"/>
        <v>17022.6</v>
      </c>
      <c r="X226" s="102">
        <f t="shared" si="98"/>
        <v>0</v>
      </c>
      <c r="Y226" s="103">
        <f t="shared" si="108"/>
        <v>79382.674</v>
      </c>
      <c r="AB226" s="76"/>
      <c r="AC226" s="76"/>
      <c r="AD226" s="76"/>
      <c r="AE226" s="77"/>
      <c r="AF226" s="78"/>
      <c r="AG226" s="24"/>
      <c r="AH226" s="53"/>
      <c r="AI226" s="53"/>
      <c r="AJ226" s="53"/>
      <c r="AK226" s="53"/>
      <c r="AL226" s="53"/>
      <c r="AM226" s="1"/>
      <c r="AN226" s="1"/>
    </row>
    <row r="227" spans="2:40" ht="12.75">
      <c r="B227" s="122">
        <f t="shared" si="103"/>
        <v>39225.07607071773</v>
      </c>
      <c r="C227">
        <v>5</v>
      </c>
      <c r="D227" s="2">
        <v>0</v>
      </c>
      <c r="E227">
        <v>0.6</v>
      </c>
      <c r="F227">
        <f t="shared" si="89"/>
        <v>119.89999999999954</v>
      </c>
      <c r="G227" s="1">
        <f t="shared" si="104"/>
        <v>859.6896000000004</v>
      </c>
      <c r="H227" s="1">
        <f t="shared" si="110"/>
        <v>0</v>
      </c>
      <c r="I227">
        <v>35</v>
      </c>
      <c r="J227" s="64">
        <f t="shared" si="90"/>
        <v>35</v>
      </c>
      <c r="K227" s="117">
        <f t="shared" si="109"/>
        <v>0.0007142857142857143</v>
      </c>
      <c r="L227" s="1">
        <f t="shared" si="91"/>
        <v>184193.94695602095</v>
      </c>
      <c r="M227" s="1">
        <f t="shared" si="105"/>
        <v>20931.13033591147</v>
      </c>
      <c r="N227" s="1">
        <f t="shared" si="99"/>
        <v>21000</v>
      </c>
      <c r="O227" s="74">
        <f t="shared" si="92"/>
        <v>0.9967204921862606</v>
      </c>
      <c r="P227" s="84">
        <f t="shared" si="101"/>
        <v>8</v>
      </c>
      <c r="Q227" s="1">
        <f t="shared" si="93"/>
        <v>20.124</v>
      </c>
      <c r="R227" s="1">
        <f t="shared" si="94"/>
        <v>2000.534807674254</v>
      </c>
      <c r="S227" s="1">
        <f t="shared" si="95"/>
        <v>33.54</v>
      </c>
      <c r="T227" s="60">
        <f t="shared" si="106"/>
        <v>40.248</v>
      </c>
      <c r="U227" s="101">
        <f t="shared" si="96"/>
        <v>7302.218586387436</v>
      </c>
      <c r="V227" s="102">
        <f t="shared" si="107"/>
        <v>8199.20436963351</v>
      </c>
      <c r="W227" s="102">
        <f t="shared" si="97"/>
        <v>9929.85</v>
      </c>
      <c r="X227" s="102">
        <f t="shared" si="98"/>
        <v>0</v>
      </c>
      <c r="Y227" s="103">
        <f t="shared" si="108"/>
        <v>158762.674</v>
      </c>
      <c r="AB227" s="76"/>
      <c r="AC227" s="76"/>
      <c r="AD227" s="76"/>
      <c r="AE227" s="77"/>
      <c r="AF227" s="78"/>
      <c r="AG227" s="24"/>
      <c r="AH227" s="53"/>
      <c r="AI227" s="53"/>
      <c r="AJ227" s="53"/>
      <c r="AK227" s="53"/>
      <c r="AL227" s="53"/>
      <c r="AM227" s="1"/>
      <c r="AN227" s="1"/>
    </row>
    <row r="228" spans="2:40" ht="12.75">
      <c r="B228" s="122">
        <f t="shared" si="103"/>
        <v>39225.07662627329</v>
      </c>
      <c r="C228">
        <v>0</v>
      </c>
      <c r="D228" s="2">
        <v>0</v>
      </c>
      <c r="E228">
        <v>0.6</v>
      </c>
      <c r="F228">
        <f t="shared" si="89"/>
        <v>120.49999999999953</v>
      </c>
      <c r="G228" s="1">
        <f t="shared" si="104"/>
        <v>859.6896000000004</v>
      </c>
      <c r="H228" s="1">
        <f>IF(G228-G227&gt;0,G228-G227,0)</f>
        <v>0</v>
      </c>
      <c r="I228">
        <v>45</v>
      </c>
      <c r="J228" s="64">
        <f t="shared" si="90"/>
        <v>45</v>
      </c>
      <c r="K228" s="117">
        <f t="shared" si="109"/>
        <v>0.0005555555555555556</v>
      </c>
      <c r="L228" s="1">
        <f t="shared" si="91"/>
        <v>112417.16876753927</v>
      </c>
      <c r="M228" s="1">
        <f t="shared" si="105"/>
        <v>16424.58634590671</v>
      </c>
      <c r="N228" s="1">
        <f t="shared" si="99"/>
        <v>21000</v>
      </c>
      <c r="O228" s="74">
        <f t="shared" si="92"/>
        <v>0.782123159328891</v>
      </c>
      <c r="P228" s="84">
        <f t="shared" si="101"/>
        <v>6</v>
      </c>
      <c r="Q228" s="1">
        <f t="shared" si="93"/>
        <v>11.738999999999999</v>
      </c>
      <c r="R228" s="1">
        <f t="shared" si="94"/>
        <v>2012.273807674254</v>
      </c>
      <c r="S228" s="1">
        <f t="shared" si="95"/>
        <v>19.564999999999998</v>
      </c>
      <c r="T228" s="60">
        <f t="shared" si="106"/>
        <v>23.477999999999998</v>
      </c>
      <c r="U228" s="101">
        <f t="shared" si="96"/>
        <v>12071.01439790576</v>
      </c>
      <c r="V228" s="102">
        <f t="shared" si="107"/>
        <v>8199.20436963351</v>
      </c>
      <c r="W228" s="102">
        <f t="shared" si="97"/>
        <v>12766.95</v>
      </c>
      <c r="X228" s="102">
        <f t="shared" si="98"/>
        <v>0</v>
      </c>
      <c r="Y228" s="103">
        <f t="shared" si="108"/>
        <v>79380</v>
      </c>
      <c r="AB228" s="76"/>
      <c r="AC228" s="76"/>
      <c r="AD228" s="76"/>
      <c r="AE228" s="77"/>
      <c r="AF228" s="78"/>
      <c r="AG228" s="24"/>
      <c r="AH228" s="53"/>
      <c r="AI228" s="53"/>
      <c r="AJ228" s="53"/>
      <c r="AK228" s="53"/>
      <c r="AL228" s="53"/>
      <c r="AM228" s="1"/>
      <c r="AN228" s="1"/>
    </row>
    <row r="229" spans="2:40" ht="12.75">
      <c r="B229" s="122">
        <f t="shared" si="103"/>
        <v>39225.077042939956</v>
      </c>
      <c r="C229">
        <v>0</v>
      </c>
      <c r="D229" s="2">
        <v>0</v>
      </c>
      <c r="E229">
        <v>0.6</v>
      </c>
      <c r="F229">
        <f>E229+F228</f>
        <v>121.09999999999953</v>
      </c>
      <c r="G229" s="1">
        <f t="shared" si="104"/>
        <v>859.6896000000004</v>
      </c>
      <c r="H229" s="1">
        <f aca="true" t="shared" si="111" ref="H229:H252">IF(G229-G228&gt;0,G229-G228,0)</f>
        <v>0</v>
      </c>
      <c r="I229">
        <v>60</v>
      </c>
      <c r="J229" s="64">
        <f>IF(M229&lt;=N229,M229/L229*308,N229/L229*308)</f>
        <v>60.000000000000014</v>
      </c>
      <c r="K229" s="117">
        <f t="shared" si="109"/>
        <v>0.00041666666666666653</v>
      </c>
      <c r="L229" s="1">
        <f>SUM(U229:Y229)</f>
        <v>46681.38552146597</v>
      </c>
      <c r="M229" s="1">
        <f t="shared" si="105"/>
        <v>9093.77640028558</v>
      </c>
      <c r="N229" s="1">
        <f t="shared" si="99"/>
        <v>21000</v>
      </c>
      <c r="O229" s="74">
        <f>M229/N229</f>
        <v>0.43303697144217046</v>
      </c>
      <c r="P229" s="84">
        <f t="shared" si="101"/>
        <v>4</v>
      </c>
      <c r="Q229" s="1">
        <f>IF($AB$11*E229/J229*VLOOKUP($AB$10,$AA$34:$AQ$44,MATCH(P229,$AA$34:$AQ$34,),0)&gt;0,$AB$11*E229/J229*VLOOKUP($AB$10,$AA$34:$AQ$44,MATCH(P229,$AA$34:$AQ$34,),0),0)</f>
        <v>5.869499999999999</v>
      </c>
      <c r="R229" s="1">
        <f>Q229+R228</f>
        <v>2018.143307674254</v>
      </c>
      <c r="S229" s="1">
        <f>Q229/E229</f>
        <v>9.782499999999999</v>
      </c>
      <c r="T229" s="60">
        <f t="shared" si="106"/>
        <v>11.738999999999997</v>
      </c>
      <c r="U229" s="101">
        <f>$AB$11*((VLOOKUP($AB$10,$AA$36:$AI$44,7,0)*VLOOKUP($AB$10,$AA$36:$AI$44,5,0)*I229*I229)/(VLOOKUP($AB$10,$AA$36:$AI$44,9,0)/VLOOKUP($AB$10,$AA$36:$AI$44,8,0))/VLOOKUP($AB$10,$AA$36:$AI$44,8,0))+((VLOOKUP($AB$12,$AA$27:$AH$33,4,0)*VLOOKUP($AB$12,$AA$27:$AH$33,5,0)*I229*I229)/(((VLOOKUP($AB$12,$AA$27:$AH$33,7,0)/2000))/((VLOOKUP($AB$12,$AA$27:$AH$33,8,0))))/VLOOKUP($AB$12,$AA$27:$AH$33,8,0))*$AE$7</f>
        <v>21459.581151832463</v>
      </c>
      <c r="V229" s="102">
        <f t="shared" si="107"/>
        <v>8199.20436963351</v>
      </c>
      <c r="W229" s="102">
        <f>$AB$11*(VLOOKUP($AB$10,$AA$36:$AI$44,6,0)*I229)+(VLOOKUP($AB$12,$AA$27:$AH$33,3,0)*I229)*$AE$7</f>
        <v>17022.6</v>
      </c>
      <c r="X229" s="102">
        <f>$AB$11*(20*D229*(VLOOKUP($AB$10,$AA$36:$AI$44,9,0)))+(20*D229*(VLOOKUP($AB$12,$AA$26:$AH$33,7,0)/2000))*$AE$7</f>
        <v>0</v>
      </c>
      <c r="Y229" s="103">
        <f t="shared" si="108"/>
        <v>0</v>
      </c>
      <c r="AB229" s="76"/>
      <c r="AC229" s="76"/>
      <c r="AD229" s="76"/>
      <c r="AE229" s="77"/>
      <c r="AF229" s="78"/>
      <c r="AG229" s="24"/>
      <c r="AH229" s="53"/>
      <c r="AI229" s="53"/>
      <c r="AJ229" s="53"/>
      <c r="AK229" s="53"/>
      <c r="AL229" s="53"/>
      <c r="AM229" s="1"/>
      <c r="AN229" s="1"/>
    </row>
    <row r="230" spans="2:40" ht="12.75">
      <c r="B230" s="122">
        <f t="shared" si="103"/>
        <v>39225.077459606626</v>
      </c>
      <c r="C230">
        <v>0</v>
      </c>
      <c r="D230" s="2">
        <v>0</v>
      </c>
      <c r="E230">
        <v>0.6</v>
      </c>
      <c r="F230">
        <f>E230+F229</f>
        <v>121.69999999999952</v>
      </c>
      <c r="G230" s="1">
        <f t="shared" si="104"/>
        <v>859.6896000000004</v>
      </c>
      <c r="H230" s="1">
        <f t="shared" si="111"/>
        <v>0</v>
      </c>
      <c r="I230">
        <v>60</v>
      </c>
      <c r="J230" s="64">
        <f>IF(M230&lt;=N230,M230/L230*308,N230/L230*308)</f>
        <v>60.000000000000014</v>
      </c>
      <c r="K230" s="117">
        <f t="shared" si="109"/>
        <v>0.00041666666666666653</v>
      </c>
      <c r="L230" s="1">
        <f>SUM(U230:Y230)</f>
        <v>46681.38552146597</v>
      </c>
      <c r="M230" s="1">
        <f t="shared" si="105"/>
        <v>9093.77640028558</v>
      </c>
      <c r="N230" s="1">
        <f t="shared" si="99"/>
        <v>21000</v>
      </c>
      <c r="O230" s="74">
        <f>M230/N230</f>
        <v>0.43303697144217046</v>
      </c>
      <c r="P230" s="84">
        <f t="shared" si="101"/>
        <v>4</v>
      </c>
      <c r="Q230" s="1">
        <f>IF($AB$11*E230/J230*VLOOKUP($AB$10,$AA$34:$AQ$44,MATCH(P230,$AA$34:$AQ$34,),0)&gt;0,$AB$11*E230/J230*VLOOKUP($AB$10,$AA$34:$AQ$44,MATCH(P230,$AA$34:$AQ$34,),0),0)</f>
        <v>5.869499999999999</v>
      </c>
      <c r="R230" s="1">
        <f>Q230+R229</f>
        <v>2024.012807674254</v>
      </c>
      <c r="S230" s="1">
        <f>Q230/E230</f>
        <v>9.782499999999999</v>
      </c>
      <c r="T230" s="60">
        <f t="shared" si="106"/>
        <v>11.738999999999997</v>
      </c>
      <c r="U230" s="101">
        <f>$AB$11*((VLOOKUP($AB$10,$AA$36:$AI$44,7,0)*VLOOKUP($AB$10,$AA$36:$AI$44,5,0)*I230*I230)/(VLOOKUP($AB$10,$AA$36:$AI$44,9,0)/VLOOKUP($AB$10,$AA$36:$AI$44,8,0))/VLOOKUP($AB$10,$AA$36:$AI$44,8,0))+((VLOOKUP($AB$12,$AA$27:$AH$33,4,0)*VLOOKUP($AB$12,$AA$27:$AH$33,5,0)*I230*I230)/(((VLOOKUP($AB$12,$AA$27:$AH$33,7,0)/2000))/((VLOOKUP($AB$12,$AA$27:$AH$33,8,0))))/VLOOKUP($AB$12,$AA$27:$AH$33,8,0))*$AE$7</f>
        <v>21459.581151832463</v>
      </c>
      <c r="V230" s="102">
        <f t="shared" si="107"/>
        <v>8199.20436963351</v>
      </c>
      <c r="W230" s="102">
        <f>$AB$11*(VLOOKUP($AB$10,$AA$36:$AI$44,6,0)*I230)+(VLOOKUP($AB$12,$AA$27:$AH$33,3,0)*I230)*$AE$7</f>
        <v>17022.6</v>
      </c>
      <c r="X230" s="102">
        <f>$AB$11*(20*D230*(VLOOKUP($AB$10,$AA$36:$AI$44,9,0)))+(20*D230*(VLOOKUP($AB$12,$AA$26:$AH$33,7,0)/2000))*$AE$7</f>
        <v>0</v>
      </c>
      <c r="Y230" s="103">
        <f t="shared" si="108"/>
        <v>0</v>
      </c>
      <c r="AB230" s="76"/>
      <c r="AC230" s="76"/>
      <c r="AD230" s="76"/>
      <c r="AE230" s="77"/>
      <c r="AF230" s="78"/>
      <c r="AG230" s="24"/>
      <c r="AH230" s="53"/>
      <c r="AI230" s="53"/>
      <c r="AJ230" s="53"/>
      <c r="AK230" s="53"/>
      <c r="AL230" s="53"/>
      <c r="AM230" s="1"/>
      <c r="AN230" s="1"/>
    </row>
    <row r="231" spans="2:40" ht="12.75">
      <c r="B231" s="122">
        <f t="shared" si="103"/>
        <v>39225.077876273295</v>
      </c>
      <c r="C231">
        <v>0</v>
      </c>
      <c r="D231" s="2">
        <v>0</v>
      </c>
      <c r="E231">
        <v>0.6</v>
      </c>
      <c r="F231">
        <f>E231+F230</f>
        <v>122.29999999999951</v>
      </c>
      <c r="G231" s="1">
        <f t="shared" si="104"/>
        <v>859.6896000000004</v>
      </c>
      <c r="H231" s="1">
        <f t="shared" si="111"/>
        <v>0</v>
      </c>
      <c r="I231">
        <v>60</v>
      </c>
      <c r="J231" s="64">
        <f>IF(M231&lt;=N231,M231/L231*308,N231/L231*308)</f>
        <v>60.000000000000014</v>
      </c>
      <c r="K231" s="117">
        <f t="shared" si="109"/>
        <v>0.00041666666666666653</v>
      </c>
      <c r="L231" s="1">
        <f>SUM(U231:Y231)</f>
        <v>46681.38552146597</v>
      </c>
      <c r="M231" s="1">
        <f t="shared" si="105"/>
        <v>9093.77640028558</v>
      </c>
      <c r="N231" s="1">
        <f t="shared" si="99"/>
        <v>21000</v>
      </c>
      <c r="O231" s="74">
        <f>M231/N231</f>
        <v>0.43303697144217046</v>
      </c>
      <c r="P231" s="84">
        <f t="shared" si="101"/>
        <v>4</v>
      </c>
      <c r="Q231" s="1">
        <f>IF($AB$11*E231/J231*VLOOKUP($AB$10,$AA$34:$AQ$44,MATCH(P231,$AA$34:$AQ$34,),0)&gt;0,$AB$11*E231/J231*VLOOKUP($AB$10,$AA$34:$AQ$44,MATCH(P231,$AA$34:$AQ$34,),0),0)</f>
        <v>5.869499999999999</v>
      </c>
      <c r="R231" s="1">
        <f>Q231+R230</f>
        <v>2029.882307674254</v>
      </c>
      <c r="S231" s="1">
        <f>Q231/E231</f>
        <v>9.782499999999999</v>
      </c>
      <c r="T231" s="60">
        <f t="shared" si="106"/>
        <v>11.738999999999997</v>
      </c>
      <c r="U231" s="101">
        <f>$AB$11*((VLOOKUP($AB$10,$AA$36:$AI$44,7,0)*VLOOKUP($AB$10,$AA$36:$AI$44,5,0)*I231*I231)/(VLOOKUP($AB$10,$AA$36:$AI$44,9,0)/VLOOKUP($AB$10,$AA$36:$AI$44,8,0))/VLOOKUP($AB$10,$AA$36:$AI$44,8,0))+((VLOOKUP($AB$12,$AA$27:$AH$33,4,0)*VLOOKUP($AB$12,$AA$27:$AH$33,5,0)*I231*I231)/(((VLOOKUP($AB$12,$AA$27:$AH$33,7,0)/2000))/((VLOOKUP($AB$12,$AA$27:$AH$33,8,0))))/VLOOKUP($AB$12,$AA$27:$AH$33,8,0))*$AE$7</f>
        <v>21459.581151832463</v>
      </c>
      <c r="V231" s="102">
        <f t="shared" si="107"/>
        <v>8199.20436963351</v>
      </c>
      <c r="W231" s="102">
        <f>$AB$11*(VLOOKUP($AB$10,$AA$36:$AI$44,6,0)*I231)+(VLOOKUP($AB$12,$AA$27:$AH$33,3,0)*I231)*$AE$7</f>
        <v>17022.6</v>
      </c>
      <c r="X231" s="102">
        <f>$AB$11*(20*D231*(VLOOKUP($AB$10,$AA$36:$AI$44,9,0)))+(20*D231*(VLOOKUP($AB$12,$AA$26:$AH$33,7,0)/2000))*$AE$7</f>
        <v>0</v>
      </c>
      <c r="Y231" s="103">
        <f t="shared" si="108"/>
        <v>0</v>
      </c>
      <c r="AB231" s="76"/>
      <c r="AC231" s="76"/>
      <c r="AD231" s="76"/>
      <c r="AE231" s="77"/>
      <c r="AF231" s="78"/>
      <c r="AG231" s="24"/>
      <c r="AH231" s="53"/>
      <c r="AI231" s="53"/>
      <c r="AJ231" s="53"/>
      <c r="AK231" s="53"/>
      <c r="AL231" s="53"/>
      <c r="AM231" s="1"/>
      <c r="AN231" s="1"/>
    </row>
    <row r="232" spans="2:40" ht="12.75">
      <c r="B232" s="122">
        <f t="shared" si="103"/>
        <v>39225.078292939965</v>
      </c>
      <c r="C232">
        <v>0</v>
      </c>
      <c r="D232" s="2">
        <v>0</v>
      </c>
      <c r="E232">
        <v>0.6</v>
      </c>
      <c r="F232">
        <f aca="true" t="shared" si="112" ref="F232:F295">E232+F231</f>
        <v>122.89999999999951</v>
      </c>
      <c r="G232" s="1">
        <f t="shared" si="104"/>
        <v>859.6896000000004</v>
      </c>
      <c r="H232" s="1">
        <f t="shared" si="111"/>
        <v>0</v>
      </c>
      <c r="I232">
        <v>60</v>
      </c>
      <c r="J232" s="64">
        <f aca="true" t="shared" si="113" ref="J232:J295">IF(M232&lt;=N232,M232/L232*308,N232/L232*308)</f>
        <v>60.000000000000014</v>
      </c>
      <c r="K232" s="117">
        <f t="shared" si="109"/>
        <v>0.00041666666666666653</v>
      </c>
      <c r="L232" s="1">
        <f aca="true" t="shared" si="114" ref="L232:L295">SUM(U232:Y232)</f>
        <v>46681.38552146597</v>
      </c>
      <c r="M232" s="1">
        <f t="shared" si="105"/>
        <v>9093.77640028558</v>
      </c>
      <c r="N232" s="1">
        <f t="shared" si="99"/>
        <v>21000</v>
      </c>
      <c r="O232" s="74">
        <f aca="true" t="shared" si="115" ref="O232:O295">M232/N232</f>
        <v>0.43303697144217046</v>
      </c>
      <c r="P232" s="84">
        <f aca="true" t="shared" si="116" ref="P232:P295">ROUNDUP(IF(M232/N232*9&gt;=8,8,IF(M232/N232*10&gt;0,(M232-M232*0.3)/N232*10,1)),0)</f>
        <v>4</v>
      </c>
      <c r="Q232" s="1">
        <f aca="true" t="shared" si="117" ref="Q232:Q295">IF($AB$11*E232/J232*VLOOKUP($AB$10,$AA$34:$AQ$44,MATCH(P232,$AA$34:$AQ$34,),0)&gt;0,$AB$11*E232/J232*VLOOKUP($AB$10,$AA$34:$AQ$44,MATCH(P232,$AA$34:$AQ$34,),0),0)</f>
        <v>5.869499999999999</v>
      </c>
      <c r="R232" s="1">
        <f aca="true" t="shared" si="118" ref="R232:R295">Q232+R231</f>
        <v>2035.751807674254</v>
      </c>
      <c r="S232" s="1">
        <f aca="true" t="shared" si="119" ref="S232:S295">Q232/E232</f>
        <v>9.782499999999999</v>
      </c>
      <c r="T232" s="60">
        <f t="shared" si="106"/>
        <v>11.738999999999997</v>
      </c>
      <c r="U232" s="101">
        <f aca="true" t="shared" si="120" ref="U232:U295">$AB$11*((VLOOKUP($AB$10,$AA$36:$AI$44,7,0)*VLOOKUP($AB$10,$AA$36:$AI$44,5,0)*I232*I232)/(VLOOKUP($AB$10,$AA$36:$AI$44,9,0)/VLOOKUP($AB$10,$AA$36:$AI$44,8,0))/VLOOKUP($AB$10,$AA$36:$AI$44,8,0))+((VLOOKUP($AB$12,$AA$27:$AH$33,4,0)*VLOOKUP($AB$12,$AA$27:$AH$33,5,0)*I232*I232)/(((VLOOKUP($AB$12,$AA$27:$AH$33,7,0)/2000))/((VLOOKUP($AB$12,$AA$27:$AH$33,8,0))))/VLOOKUP($AB$12,$AA$27:$AH$33,8,0))*$AE$7</f>
        <v>21459.581151832463</v>
      </c>
      <c r="V232" s="102">
        <f t="shared" si="107"/>
        <v>8199.20436963351</v>
      </c>
      <c r="W232" s="102">
        <f aca="true" t="shared" si="121" ref="W232:W295">$AB$11*(VLOOKUP($AB$10,$AA$36:$AI$44,6,0)*I232)+(VLOOKUP($AB$12,$AA$27:$AH$33,3,0)*I232)*$AE$7</f>
        <v>17022.6</v>
      </c>
      <c r="X232" s="102">
        <f aca="true" t="shared" si="122" ref="X232:X295">$AB$11*(20*D232*(VLOOKUP($AB$10,$AA$36:$AI$44,9,0)))+(20*D232*(VLOOKUP($AB$12,$AA$26:$AH$33,7,0)/2000))*$AE$7</f>
        <v>0</v>
      </c>
      <c r="Y232" s="103">
        <f t="shared" si="108"/>
        <v>0</v>
      </c>
      <c r="AB232" s="76"/>
      <c r="AC232" s="76"/>
      <c r="AD232" s="76"/>
      <c r="AE232" s="77"/>
      <c r="AF232" s="78"/>
      <c r="AG232" s="24"/>
      <c r="AH232" s="53"/>
      <c r="AI232" s="53"/>
      <c r="AJ232" s="53"/>
      <c r="AK232" s="53"/>
      <c r="AL232" s="53"/>
      <c r="AM232" s="1"/>
      <c r="AN232" s="1"/>
    </row>
    <row r="233" spans="2:40" ht="12.75">
      <c r="B233" s="122">
        <f t="shared" si="103"/>
        <v>39225.078709606634</v>
      </c>
      <c r="C233">
        <v>0</v>
      </c>
      <c r="D233" s="2">
        <v>0</v>
      </c>
      <c r="E233">
        <v>0.6</v>
      </c>
      <c r="F233">
        <f t="shared" si="112"/>
        <v>123.4999999999995</v>
      </c>
      <c r="G233" s="1">
        <f t="shared" si="104"/>
        <v>859.6896000000004</v>
      </c>
      <c r="H233" s="1">
        <f t="shared" si="111"/>
        <v>0</v>
      </c>
      <c r="I233">
        <v>60</v>
      </c>
      <c r="J233" s="64">
        <f t="shared" si="113"/>
        <v>60.000000000000014</v>
      </c>
      <c r="K233" s="117">
        <f t="shared" si="109"/>
        <v>0.00041666666666666653</v>
      </c>
      <c r="L233" s="1">
        <f t="shared" si="114"/>
        <v>46681.38552146597</v>
      </c>
      <c r="M233" s="1">
        <f t="shared" si="105"/>
        <v>9093.77640028558</v>
      </c>
      <c r="N233" s="1">
        <f t="shared" si="99"/>
        <v>21000</v>
      </c>
      <c r="O233" s="74">
        <f t="shared" si="115"/>
        <v>0.43303697144217046</v>
      </c>
      <c r="P233" s="84">
        <f t="shared" si="116"/>
        <v>4</v>
      </c>
      <c r="Q233" s="1">
        <f t="shared" si="117"/>
        <v>5.869499999999999</v>
      </c>
      <c r="R233" s="1">
        <f t="shared" si="118"/>
        <v>2041.621307674254</v>
      </c>
      <c r="S233" s="1">
        <f t="shared" si="119"/>
        <v>9.782499999999999</v>
      </c>
      <c r="T233" s="60">
        <f t="shared" si="106"/>
        <v>11.738999999999997</v>
      </c>
      <c r="U233" s="101">
        <f t="shared" si="120"/>
        <v>21459.581151832463</v>
      </c>
      <c r="V233" s="102">
        <f t="shared" si="107"/>
        <v>8199.20436963351</v>
      </c>
      <c r="W233" s="102">
        <f t="shared" si="121"/>
        <v>17022.6</v>
      </c>
      <c r="X233" s="102">
        <f t="shared" si="122"/>
        <v>0</v>
      </c>
      <c r="Y233" s="103">
        <f t="shared" si="108"/>
        <v>0</v>
      </c>
      <c r="AB233" s="76"/>
      <c r="AC233" s="76"/>
      <c r="AD233" s="76"/>
      <c r="AE233" s="77"/>
      <c r="AF233" s="78"/>
      <c r="AG233" s="24"/>
      <c r="AH233" s="53"/>
      <c r="AI233" s="53"/>
      <c r="AJ233" s="53"/>
      <c r="AK233" s="53"/>
      <c r="AL233" s="53"/>
      <c r="AM233" s="1"/>
      <c r="AN233" s="1"/>
    </row>
    <row r="234" spans="2:40" ht="12.75">
      <c r="B234" s="122">
        <f t="shared" si="103"/>
        <v>39225.079126273304</v>
      </c>
      <c r="C234">
        <v>0</v>
      </c>
      <c r="D234" s="2">
        <v>0</v>
      </c>
      <c r="E234">
        <v>0.6</v>
      </c>
      <c r="F234">
        <f t="shared" si="112"/>
        <v>124.0999999999995</v>
      </c>
      <c r="G234" s="1">
        <f t="shared" si="104"/>
        <v>859.6896000000004</v>
      </c>
      <c r="H234" s="1">
        <f t="shared" si="111"/>
        <v>0</v>
      </c>
      <c r="I234">
        <v>60</v>
      </c>
      <c r="J234" s="64">
        <f t="shared" si="113"/>
        <v>60.000000000000014</v>
      </c>
      <c r="K234" s="117">
        <f t="shared" si="109"/>
        <v>0.00041666666666666653</v>
      </c>
      <c r="L234" s="1">
        <f t="shared" si="114"/>
        <v>46681.38552146597</v>
      </c>
      <c r="M234" s="1">
        <f t="shared" si="105"/>
        <v>9093.77640028558</v>
      </c>
      <c r="N234" s="1">
        <f aca="true" t="shared" si="123" ref="N234:N297">$AB$11*(VLOOKUP($AB$10,$AA$36:$AI$44,4,0))</f>
        <v>21000</v>
      </c>
      <c r="O234" s="74">
        <f t="shared" si="115"/>
        <v>0.43303697144217046</v>
      </c>
      <c r="P234" s="84">
        <f t="shared" si="116"/>
        <v>4</v>
      </c>
      <c r="Q234" s="1">
        <f t="shared" si="117"/>
        <v>5.869499999999999</v>
      </c>
      <c r="R234" s="1">
        <f t="shared" si="118"/>
        <v>2047.490807674254</v>
      </c>
      <c r="S234" s="1">
        <f t="shared" si="119"/>
        <v>9.782499999999999</v>
      </c>
      <c r="T234" s="60">
        <f t="shared" si="106"/>
        <v>11.738999999999997</v>
      </c>
      <c r="U234" s="101">
        <f t="shared" si="120"/>
        <v>21459.581151832463</v>
      </c>
      <c r="V234" s="102">
        <f t="shared" si="107"/>
        <v>8199.20436963351</v>
      </c>
      <c r="W234" s="102">
        <f t="shared" si="121"/>
        <v>17022.6</v>
      </c>
      <c r="X234" s="102">
        <f t="shared" si="122"/>
        <v>0</v>
      </c>
      <c r="Y234" s="103">
        <f t="shared" si="108"/>
        <v>0</v>
      </c>
      <c r="AB234" s="76"/>
      <c r="AC234" s="76"/>
      <c r="AD234" s="76"/>
      <c r="AE234" s="77"/>
      <c r="AF234" s="78"/>
      <c r="AG234" s="24"/>
      <c r="AH234" s="53"/>
      <c r="AI234" s="53"/>
      <c r="AJ234" s="53"/>
      <c r="AK234" s="53"/>
      <c r="AL234" s="53"/>
      <c r="AM234" s="1"/>
      <c r="AN234" s="1"/>
    </row>
    <row r="235" spans="2:40" ht="12.75">
      <c r="B235" s="122">
        <f t="shared" si="103"/>
        <v>39225.07954293997</v>
      </c>
      <c r="C235">
        <v>0</v>
      </c>
      <c r="D235" s="2">
        <v>0</v>
      </c>
      <c r="E235">
        <v>0.6</v>
      </c>
      <c r="F235">
        <f t="shared" si="112"/>
        <v>124.69999999999949</v>
      </c>
      <c r="G235" s="1">
        <f t="shared" si="104"/>
        <v>859.6896000000004</v>
      </c>
      <c r="H235" s="1">
        <f t="shared" si="111"/>
        <v>0</v>
      </c>
      <c r="I235">
        <v>60</v>
      </c>
      <c r="J235" s="64">
        <f t="shared" si="113"/>
        <v>60.000000000000014</v>
      </c>
      <c r="K235" s="117">
        <f t="shared" si="109"/>
        <v>0.00041666666666666653</v>
      </c>
      <c r="L235" s="1">
        <f t="shared" si="114"/>
        <v>46681.38552146597</v>
      </c>
      <c r="M235" s="1">
        <f t="shared" si="105"/>
        <v>9093.77640028558</v>
      </c>
      <c r="N235" s="1">
        <f t="shared" si="123"/>
        <v>21000</v>
      </c>
      <c r="O235" s="74">
        <f t="shared" si="115"/>
        <v>0.43303697144217046</v>
      </c>
      <c r="P235" s="84">
        <f t="shared" si="116"/>
        <v>4</v>
      </c>
      <c r="Q235" s="1">
        <f t="shared" si="117"/>
        <v>5.869499999999999</v>
      </c>
      <c r="R235" s="1">
        <f t="shared" si="118"/>
        <v>2053.360307674254</v>
      </c>
      <c r="S235" s="1">
        <f t="shared" si="119"/>
        <v>9.782499999999999</v>
      </c>
      <c r="T235" s="60">
        <f t="shared" si="106"/>
        <v>11.738999999999997</v>
      </c>
      <c r="U235" s="101">
        <f t="shared" si="120"/>
        <v>21459.581151832463</v>
      </c>
      <c r="V235" s="102">
        <f t="shared" si="107"/>
        <v>8199.20436963351</v>
      </c>
      <c r="W235" s="102">
        <f t="shared" si="121"/>
        <v>17022.6</v>
      </c>
      <c r="X235" s="102">
        <f t="shared" si="122"/>
        <v>0</v>
      </c>
      <c r="Y235" s="103">
        <f t="shared" si="108"/>
        <v>0</v>
      </c>
      <c r="AB235" s="76"/>
      <c r="AC235" s="76"/>
      <c r="AD235" s="76"/>
      <c r="AE235" s="77"/>
      <c r="AF235" s="78"/>
      <c r="AG235" s="24"/>
      <c r="AH235" s="53"/>
      <c r="AI235" s="53"/>
      <c r="AJ235" s="53"/>
      <c r="AK235" s="53"/>
      <c r="AL235" s="53"/>
      <c r="AM235" s="1"/>
      <c r="AN235" s="1"/>
    </row>
    <row r="236" spans="2:40" ht="12.75">
      <c r="B236" s="122">
        <f t="shared" si="103"/>
        <v>39225.07995960664</v>
      </c>
      <c r="C236">
        <v>3</v>
      </c>
      <c r="D236" s="2">
        <v>0</v>
      </c>
      <c r="E236">
        <v>0.6</v>
      </c>
      <c r="F236">
        <f t="shared" si="112"/>
        <v>125.29999999999949</v>
      </c>
      <c r="G236" s="1">
        <f t="shared" si="104"/>
        <v>859.6896000000004</v>
      </c>
      <c r="H236" s="1">
        <f t="shared" si="111"/>
        <v>0</v>
      </c>
      <c r="I236">
        <v>60</v>
      </c>
      <c r="J236" s="64">
        <f t="shared" si="113"/>
        <v>59.99999999999999</v>
      </c>
      <c r="K236" s="117">
        <f t="shared" si="109"/>
        <v>0.0004166666666666667</v>
      </c>
      <c r="L236" s="1">
        <f t="shared" si="114"/>
        <v>94310.98992146597</v>
      </c>
      <c r="M236" s="1">
        <f t="shared" si="105"/>
        <v>18372.27076392194</v>
      </c>
      <c r="N236" s="1">
        <f t="shared" si="123"/>
        <v>21000</v>
      </c>
      <c r="O236" s="74">
        <f t="shared" si="115"/>
        <v>0.8748700363772353</v>
      </c>
      <c r="P236" s="84">
        <f t="shared" si="116"/>
        <v>7</v>
      </c>
      <c r="Q236" s="1">
        <f t="shared" si="117"/>
        <v>10.271625</v>
      </c>
      <c r="R236" s="1">
        <f t="shared" si="118"/>
        <v>2063.6319326742537</v>
      </c>
      <c r="S236" s="1">
        <f t="shared" si="119"/>
        <v>17.119375</v>
      </c>
      <c r="T236" s="60">
        <f t="shared" si="106"/>
        <v>20.54325</v>
      </c>
      <c r="U236" s="101">
        <f t="shared" si="120"/>
        <v>21459.581151832463</v>
      </c>
      <c r="V236" s="102">
        <f t="shared" si="107"/>
        <v>8199.20436963351</v>
      </c>
      <c r="W236" s="102">
        <f t="shared" si="121"/>
        <v>17022.6</v>
      </c>
      <c r="X236" s="102">
        <f t="shared" si="122"/>
        <v>0</v>
      </c>
      <c r="Y236" s="103">
        <f t="shared" si="108"/>
        <v>47629.6044</v>
      </c>
      <c r="AB236" s="76"/>
      <c r="AC236" s="76"/>
      <c r="AD236" s="76"/>
      <c r="AE236" s="77"/>
      <c r="AF236" s="78"/>
      <c r="AG236" s="24"/>
      <c r="AH236" s="53"/>
      <c r="AI236" s="53"/>
      <c r="AJ236" s="53"/>
      <c r="AK236" s="53"/>
      <c r="AL236" s="53"/>
      <c r="AM236" s="1"/>
      <c r="AN236" s="1"/>
    </row>
    <row r="237" spans="2:40" ht="12.75">
      <c r="B237" s="122">
        <f t="shared" si="103"/>
        <v>39225.08058460664</v>
      </c>
      <c r="C237">
        <v>3</v>
      </c>
      <c r="D237" s="2">
        <v>0</v>
      </c>
      <c r="E237">
        <v>0.6</v>
      </c>
      <c r="F237">
        <f t="shared" si="112"/>
        <v>125.89999999999948</v>
      </c>
      <c r="G237" s="1">
        <f t="shared" si="104"/>
        <v>859.6896000000004</v>
      </c>
      <c r="H237" s="1">
        <f t="shared" si="111"/>
        <v>0</v>
      </c>
      <c r="I237">
        <v>40</v>
      </c>
      <c r="J237" s="64">
        <f t="shared" si="113"/>
        <v>39.99999999999999</v>
      </c>
      <c r="K237" s="117">
        <f t="shared" si="109"/>
        <v>0.0006250000000000001</v>
      </c>
      <c r="L237" s="1">
        <f t="shared" si="114"/>
        <v>124342.80039267015</v>
      </c>
      <c r="M237" s="1">
        <f t="shared" si="105"/>
        <v>16148.415635411706</v>
      </c>
      <c r="N237" s="1">
        <f t="shared" si="123"/>
        <v>21000</v>
      </c>
      <c r="O237" s="74">
        <f t="shared" si="115"/>
        <v>0.7689721731148431</v>
      </c>
      <c r="P237" s="84">
        <f t="shared" si="116"/>
        <v>6</v>
      </c>
      <c r="Q237" s="1">
        <f t="shared" si="117"/>
        <v>13.206375000000001</v>
      </c>
      <c r="R237" s="1">
        <f t="shared" si="118"/>
        <v>2076.838307674254</v>
      </c>
      <c r="S237" s="1">
        <f t="shared" si="119"/>
        <v>22.010625000000005</v>
      </c>
      <c r="T237" s="60">
        <f t="shared" si="106"/>
        <v>26.412750000000003</v>
      </c>
      <c r="U237" s="101">
        <f t="shared" si="120"/>
        <v>9537.59162303665</v>
      </c>
      <c r="V237" s="102">
        <f t="shared" si="107"/>
        <v>8199.20436963351</v>
      </c>
      <c r="W237" s="102">
        <f t="shared" si="121"/>
        <v>11348.399999999998</v>
      </c>
      <c r="X237" s="102">
        <f t="shared" si="122"/>
        <v>0</v>
      </c>
      <c r="Y237" s="103">
        <f t="shared" si="108"/>
        <v>95257.6044</v>
      </c>
      <c r="AB237" s="76"/>
      <c r="AC237" s="76"/>
      <c r="AD237" s="76"/>
      <c r="AE237" s="77"/>
      <c r="AF237" s="78"/>
      <c r="AG237" s="24"/>
      <c r="AH237" s="53"/>
      <c r="AI237" s="53"/>
      <c r="AJ237" s="53"/>
      <c r="AK237" s="53"/>
      <c r="AL237" s="53"/>
      <c r="AM237" s="1"/>
      <c r="AN237" s="1"/>
    </row>
    <row r="238" spans="2:40" ht="12.75">
      <c r="B238" s="122">
        <f t="shared" si="103"/>
        <v>39225.08100127331</v>
      </c>
      <c r="C238">
        <v>0</v>
      </c>
      <c r="D238" s="2">
        <v>0</v>
      </c>
      <c r="E238">
        <v>0.6</v>
      </c>
      <c r="F238">
        <f t="shared" si="112"/>
        <v>126.49999999999947</v>
      </c>
      <c r="G238" s="1">
        <f t="shared" si="104"/>
        <v>859.6896000000004</v>
      </c>
      <c r="H238" s="1">
        <f t="shared" si="111"/>
        <v>0</v>
      </c>
      <c r="I238">
        <v>60</v>
      </c>
      <c r="J238" s="64">
        <f t="shared" si="113"/>
        <v>59.99999999999999</v>
      </c>
      <c r="K238" s="117">
        <f t="shared" si="109"/>
        <v>0.0004166666666666667</v>
      </c>
      <c r="L238" s="1">
        <f t="shared" si="114"/>
        <v>94309.38552146597</v>
      </c>
      <c r="M238" s="1">
        <f t="shared" si="105"/>
        <v>18371.958218467396</v>
      </c>
      <c r="N238" s="1">
        <f t="shared" si="123"/>
        <v>21000</v>
      </c>
      <c r="O238" s="74">
        <f t="shared" si="115"/>
        <v>0.8748551532603522</v>
      </c>
      <c r="P238" s="84">
        <f t="shared" si="116"/>
        <v>7</v>
      </c>
      <c r="Q238" s="1">
        <f t="shared" si="117"/>
        <v>10.271625</v>
      </c>
      <c r="R238" s="1">
        <f t="shared" si="118"/>
        <v>2087.1099326742537</v>
      </c>
      <c r="S238" s="1">
        <f t="shared" si="119"/>
        <v>17.119375</v>
      </c>
      <c r="T238" s="60">
        <f t="shared" si="106"/>
        <v>20.54325</v>
      </c>
      <c r="U238" s="101">
        <f t="shared" si="120"/>
        <v>21459.581151832463</v>
      </c>
      <c r="V238" s="102">
        <f t="shared" si="107"/>
        <v>8199.20436963351</v>
      </c>
      <c r="W238" s="102">
        <f t="shared" si="121"/>
        <v>17022.6</v>
      </c>
      <c r="X238" s="102">
        <f t="shared" si="122"/>
        <v>0</v>
      </c>
      <c r="Y238" s="103">
        <f t="shared" si="108"/>
        <v>47628</v>
      </c>
      <c r="AB238" s="76"/>
      <c r="AC238" s="76"/>
      <c r="AD238" s="76"/>
      <c r="AE238" s="77"/>
      <c r="AF238" s="78"/>
      <c r="AG238" s="24"/>
      <c r="AH238" s="53"/>
      <c r="AI238" s="53"/>
      <c r="AJ238" s="53"/>
      <c r="AK238" s="53"/>
      <c r="AL238" s="53"/>
      <c r="AM238" s="1"/>
      <c r="AN238" s="1"/>
    </row>
    <row r="239" spans="2:40" ht="12.75">
      <c r="B239" s="122">
        <f t="shared" si="103"/>
        <v>39225.08141793998</v>
      </c>
      <c r="C239">
        <v>0</v>
      </c>
      <c r="D239" s="2">
        <v>0</v>
      </c>
      <c r="E239">
        <v>0.6</v>
      </c>
      <c r="F239">
        <f t="shared" si="112"/>
        <v>127.09999999999947</v>
      </c>
      <c r="G239" s="1">
        <f t="shared" si="104"/>
        <v>859.6896000000004</v>
      </c>
      <c r="H239" s="1">
        <f t="shared" si="111"/>
        <v>0</v>
      </c>
      <c r="I239">
        <v>60</v>
      </c>
      <c r="J239" s="64">
        <f t="shared" si="113"/>
        <v>60.000000000000014</v>
      </c>
      <c r="K239" s="117">
        <f t="shared" si="109"/>
        <v>0.00041666666666666653</v>
      </c>
      <c r="L239" s="1">
        <f t="shared" si="114"/>
        <v>46681.38552146597</v>
      </c>
      <c r="M239" s="1">
        <f t="shared" si="105"/>
        <v>9093.77640028558</v>
      </c>
      <c r="N239" s="1">
        <f t="shared" si="123"/>
        <v>21000</v>
      </c>
      <c r="O239" s="74">
        <f t="shared" si="115"/>
        <v>0.43303697144217046</v>
      </c>
      <c r="P239" s="84">
        <f t="shared" si="116"/>
        <v>4</v>
      </c>
      <c r="Q239" s="1">
        <f t="shared" si="117"/>
        <v>5.869499999999999</v>
      </c>
      <c r="R239" s="1">
        <f t="shared" si="118"/>
        <v>2092.9794326742535</v>
      </c>
      <c r="S239" s="1">
        <f t="shared" si="119"/>
        <v>9.782499999999999</v>
      </c>
      <c r="T239" s="60">
        <f t="shared" si="106"/>
        <v>11.738999999999997</v>
      </c>
      <c r="U239" s="101">
        <f t="shared" si="120"/>
        <v>21459.581151832463</v>
      </c>
      <c r="V239" s="102">
        <f t="shared" si="107"/>
        <v>8199.20436963351</v>
      </c>
      <c r="W239" s="102">
        <f t="shared" si="121"/>
        <v>17022.6</v>
      </c>
      <c r="X239" s="102">
        <f t="shared" si="122"/>
        <v>0</v>
      </c>
      <c r="Y239" s="103">
        <f t="shared" si="108"/>
        <v>0</v>
      </c>
      <c r="AB239" s="76"/>
      <c r="AC239" s="76"/>
      <c r="AD239" s="76"/>
      <c r="AE239" s="77"/>
      <c r="AF239" s="78"/>
      <c r="AG239" s="24"/>
      <c r="AH239" s="53"/>
      <c r="AI239" s="53"/>
      <c r="AJ239" s="53"/>
      <c r="AK239" s="53"/>
      <c r="AL239" s="53"/>
      <c r="AM239" s="1"/>
      <c r="AN239" s="1"/>
    </row>
    <row r="240" spans="2:40" ht="12.75">
      <c r="B240" s="122">
        <f t="shared" si="103"/>
        <v>39225.08183460665</v>
      </c>
      <c r="C240">
        <v>0</v>
      </c>
      <c r="D240" s="2">
        <v>0</v>
      </c>
      <c r="E240">
        <v>0.6</v>
      </c>
      <c r="F240">
        <f t="shared" si="112"/>
        <v>127.69999999999946</v>
      </c>
      <c r="G240" s="1">
        <f t="shared" si="104"/>
        <v>859.6896000000004</v>
      </c>
      <c r="H240" s="1">
        <f t="shared" si="111"/>
        <v>0</v>
      </c>
      <c r="I240">
        <v>60</v>
      </c>
      <c r="J240" s="64">
        <f t="shared" si="113"/>
        <v>60.000000000000014</v>
      </c>
      <c r="K240" s="117">
        <f t="shared" si="109"/>
        <v>0.00041666666666666653</v>
      </c>
      <c r="L240" s="1">
        <f t="shared" si="114"/>
        <v>46681.38552146597</v>
      </c>
      <c r="M240" s="1">
        <f t="shared" si="105"/>
        <v>9093.77640028558</v>
      </c>
      <c r="N240" s="1">
        <f t="shared" si="123"/>
        <v>21000</v>
      </c>
      <c r="O240" s="74">
        <f t="shared" si="115"/>
        <v>0.43303697144217046</v>
      </c>
      <c r="P240" s="84">
        <f t="shared" si="116"/>
        <v>4</v>
      </c>
      <c r="Q240" s="1">
        <f t="shared" si="117"/>
        <v>5.869499999999999</v>
      </c>
      <c r="R240" s="1">
        <f t="shared" si="118"/>
        <v>2098.8489326742533</v>
      </c>
      <c r="S240" s="1">
        <f t="shared" si="119"/>
        <v>9.782499999999999</v>
      </c>
      <c r="T240" s="60">
        <f t="shared" si="106"/>
        <v>11.738999999999997</v>
      </c>
      <c r="U240" s="101">
        <f t="shared" si="120"/>
        <v>21459.581151832463</v>
      </c>
      <c r="V240" s="102">
        <f t="shared" si="107"/>
        <v>8199.20436963351</v>
      </c>
      <c r="W240" s="102">
        <f t="shared" si="121"/>
        <v>17022.6</v>
      </c>
      <c r="X240" s="102">
        <f t="shared" si="122"/>
        <v>0</v>
      </c>
      <c r="Y240" s="103">
        <f t="shared" si="108"/>
        <v>0</v>
      </c>
      <c r="AB240" s="76"/>
      <c r="AC240" s="76"/>
      <c r="AD240" s="76"/>
      <c r="AE240" s="77"/>
      <c r="AF240" s="78"/>
      <c r="AG240" s="24"/>
      <c r="AH240" s="53"/>
      <c r="AI240" s="53"/>
      <c r="AJ240" s="53"/>
      <c r="AK240" s="53"/>
      <c r="AL240" s="53"/>
      <c r="AM240" s="1"/>
      <c r="AN240" s="1"/>
    </row>
    <row r="241" spans="2:40" ht="12.75">
      <c r="B241" s="122">
        <f t="shared" si="103"/>
        <v>39225.08225127332</v>
      </c>
      <c r="C241">
        <v>0</v>
      </c>
      <c r="D241" s="2">
        <v>0</v>
      </c>
      <c r="E241">
        <v>0.6</v>
      </c>
      <c r="F241">
        <f t="shared" si="112"/>
        <v>128.29999999999947</v>
      </c>
      <c r="G241" s="1">
        <f t="shared" si="104"/>
        <v>859.6896000000004</v>
      </c>
      <c r="H241" s="1">
        <f t="shared" si="111"/>
        <v>0</v>
      </c>
      <c r="I241">
        <v>60</v>
      </c>
      <c r="J241" s="64">
        <f t="shared" si="113"/>
        <v>60.000000000000014</v>
      </c>
      <c r="K241" s="117">
        <f t="shared" si="109"/>
        <v>0.00041666666666666653</v>
      </c>
      <c r="L241" s="1">
        <f t="shared" si="114"/>
        <v>46681.38552146597</v>
      </c>
      <c r="M241" s="1">
        <f t="shared" si="105"/>
        <v>9093.77640028558</v>
      </c>
      <c r="N241" s="1">
        <f t="shared" si="123"/>
        <v>21000</v>
      </c>
      <c r="O241" s="74">
        <f t="shared" si="115"/>
        <v>0.43303697144217046</v>
      </c>
      <c r="P241" s="84">
        <f t="shared" si="116"/>
        <v>4</v>
      </c>
      <c r="Q241" s="1">
        <f t="shared" si="117"/>
        <v>5.869499999999999</v>
      </c>
      <c r="R241" s="1">
        <f t="shared" si="118"/>
        <v>2104.718432674253</v>
      </c>
      <c r="S241" s="1">
        <f t="shared" si="119"/>
        <v>9.782499999999999</v>
      </c>
      <c r="T241" s="60">
        <f t="shared" si="106"/>
        <v>11.738999999999997</v>
      </c>
      <c r="U241" s="101">
        <f t="shared" si="120"/>
        <v>21459.581151832463</v>
      </c>
      <c r="V241" s="102">
        <f t="shared" si="107"/>
        <v>8199.20436963351</v>
      </c>
      <c r="W241" s="102">
        <f t="shared" si="121"/>
        <v>17022.6</v>
      </c>
      <c r="X241" s="102">
        <f t="shared" si="122"/>
        <v>0</v>
      </c>
      <c r="Y241" s="103">
        <f t="shared" si="108"/>
        <v>0</v>
      </c>
      <c r="AB241" s="76"/>
      <c r="AC241" s="76"/>
      <c r="AD241" s="76"/>
      <c r="AE241" s="77"/>
      <c r="AF241" s="78"/>
      <c r="AG241" s="24"/>
      <c r="AH241" s="53"/>
      <c r="AI241" s="53"/>
      <c r="AJ241" s="53"/>
      <c r="AK241" s="53"/>
      <c r="AL241" s="53"/>
      <c r="AM241" s="1"/>
      <c r="AN241" s="1"/>
    </row>
    <row r="242" spans="2:40" ht="12.75">
      <c r="B242" s="122">
        <f t="shared" si="103"/>
        <v>39225.08266793999</v>
      </c>
      <c r="C242">
        <v>0</v>
      </c>
      <c r="D242" s="2">
        <v>0</v>
      </c>
      <c r="E242">
        <v>0.6</v>
      </c>
      <c r="F242">
        <f t="shared" si="112"/>
        <v>128.89999999999947</v>
      </c>
      <c r="G242" s="1">
        <f t="shared" si="104"/>
        <v>859.6896000000004</v>
      </c>
      <c r="H242" s="1">
        <f t="shared" si="111"/>
        <v>0</v>
      </c>
      <c r="I242">
        <v>60</v>
      </c>
      <c r="J242" s="64">
        <f t="shared" si="113"/>
        <v>60.000000000000014</v>
      </c>
      <c r="K242" s="117">
        <f t="shared" si="109"/>
        <v>0.00041666666666666653</v>
      </c>
      <c r="L242" s="1">
        <f t="shared" si="114"/>
        <v>46681.38552146597</v>
      </c>
      <c r="M242" s="1">
        <f t="shared" si="105"/>
        <v>9093.77640028558</v>
      </c>
      <c r="N242" s="1">
        <f t="shared" si="123"/>
        <v>21000</v>
      </c>
      <c r="O242" s="74">
        <f t="shared" si="115"/>
        <v>0.43303697144217046</v>
      </c>
      <c r="P242" s="84">
        <f t="shared" si="116"/>
        <v>4</v>
      </c>
      <c r="Q242" s="1">
        <f t="shared" si="117"/>
        <v>5.869499999999999</v>
      </c>
      <c r="R242" s="1">
        <f t="shared" si="118"/>
        <v>2110.587932674253</v>
      </c>
      <c r="S242" s="1">
        <f t="shared" si="119"/>
        <v>9.782499999999999</v>
      </c>
      <c r="T242" s="60">
        <f t="shared" si="106"/>
        <v>11.738999999999997</v>
      </c>
      <c r="U242" s="101">
        <f t="shared" si="120"/>
        <v>21459.581151832463</v>
      </c>
      <c r="V242" s="102">
        <f t="shared" si="107"/>
        <v>8199.20436963351</v>
      </c>
      <c r="W242" s="102">
        <f t="shared" si="121"/>
        <v>17022.6</v>
      </c>
      <c r="X242" s="102">
        <f t="shared" si="122"/>
        <v>0</v>
      </c>
      <c r="Y242" s="103">
        <f t="shared" si="108"/>
        <v>0</v>
      </c>
      <c r="AB242" s="76"/>
      <c r="AC242" s="76"/>
      <c r="AD242" s="76"/>
      <c r="AE242" s="77"/>
      <c r="AF242" s="78"/>
      <c r="AG242" s="24"/>
      <c r="AH242" s="53"/>
      <c r="AI242" s="53"/>
      <c r="AJ242" s="53"/>
      <c r="AK242" s="53"/>
      <c r="AL242" s="53"/>
      <c r="AM242" s="1"/>
      <c r="AN242" s="1"/>
    </row>
    <row r="243" spans="2:40" ht="12.75">
      <c r="B243" s="122">
        <f t="shared" si="103"/>
        <v>39225.08316793999</v>
      </c>
      <c r="C243">
        <v>3</v>
      </c>
      <c r="D243" s="2">
        <v>0.001</v>
      </c>
      <c r="E243">
        <v>0.6</v>
      </c>
      <c r="F243">
        <f t="shared" si="112"/>
        <v>129.49999999999946</v>
      </c>
      <c r="G243" s="1">
        <f t="shared" si="104"/>
        <v>862.8576000000004</v>
      </c>
      <c r="H243" s="1">
        <f t="shared" si="111"/>
        <v>3.1680000000000064</v>
      </c>
      <c r="I243">
        <v>50</v>
      </c>
      <c r="J243" s="64">
        <f t="shared" si="113"/>
        <v>50</v>
      </c>
      <c r="K243" s="117">
        <f t="shared" si="109"/>
        <v>0.0005</v>
      </c>
      <c r="L243" s="1">
        <f t="shared" si="114"/>
        <v>96283.53568062827</v>
      </c>
      <c r="M243" s="1">
        <f t="shared" si="105"/>
        <v>15630.444103998096</v>
      </c>
      <c r="N243" s="1">
        <f t="shared" si="123"/>
        <v>21000</v>
      </c>
      <c r="O243" s="74">
        <f t="shared" si="115"/>
        <v>0.7443068620951474</v>
      </c>
      <c r="P243" s="84">
        <f t="shared" si="116"/>
        <v>6</v>
      </c>
      <c r="Q243" s="1">
        <f t="shared" si="117"/>
        <v>10.5651</v>
      </c>
      <c r="R243" s="1">
        <f t="shared" si="118"/>
        <v>2121.1530326742527</v>
      </c>
      <c r="S243" s="1">
        <f t="shared" si="119"/>
        <v>17.6085</v>
      </c>
      <c r="T243" s="60">
        <f t="shared" si="106"/>
        <v>21.1302</v>
      </c>
      <c r="U243" s="101">
        <f t="shared" si="120"/>
        <v>14902.486910994765</v>
      </c>
      <c r="V243" s="102">
        <f t="shared" si="107"/>
        <v>8199.20436963351</v>
      </c>
      <c r="W243" s="102">
        <f t="shared" si="121"/>
        <v>14185.5</v>
      </c>
      <c r="X243" s="102">
        <f t="shared" si="122"/>
        <v>11366.74</v>
      </c>
      <c r="Y243" s="103">
        <f t="shared" si="108"/>
        <v>47629.6044</v>
      </c>
      <c r="AB243" s="76"/>
      <c r="AC243" s="76"/>
      <c r="AD243" s="76"/>
      <c r="AE243" s="77"/>
      <c r="AF243" s="78"/>
      <c r="AG243" s="24"/>
      <c r="AH243" s="53"/>
      <c r="AI243" s="53"/>
      <c r="AJ243" s="53"/>
      <c r="AK243" s="53"/>
      <c r="AL243" s="53"/>
      <c r="AM243" s="1"/>
      <c r="AN243" s="1"/>
    </row>
    <row r="244" spans="2:40" ht="12.75">
      <c r="B244" s="122">
        <f t="shared" si="103"/>
        <v>39225.083667939994</v>
      </c>
      <c r="C244">
        <v>0</v>
      </c>
      <c r="D244" s="2">
        <v>0.001</v>
      </c>
      <c r="E244">
        <v>0.6</v>
      </c>
      <c r="F244">
        <f t="shared" si="112"/>
        <v>130.09999999999945</v>
      </c>
      <c r="G244" s="1">
        <f t="shared" si="104"/>
        <v>866.0256000000004</v>
      </c>
      <c r="H244" s="1">
        <f t="shared" si="111"/>
        <v>3.1680000000000064</v>
      </c>
      <c r="I244">
        <v>50</v>
      </c>
      <c r="J244" s="64">
        <f t="shared" si="113"/>
        <v>49.99999999999999</v>
      </c>
      <c r="K244" s="117">
        <f t="shared" si="109"/>
        <v>0.0005000000000000001</v>
      </c>
      <c r="L244" s="1">
        <f t="shared" si="114"/>
        <v>96281.93128062828</v>
      </c>
      <c r="M244" s="1">
        <f t="shared" si="105"/>
        <v>15630.183649452641</v>
      </c>
      <c r="N244" s="1">
        <f t="shared" si="123"/>
        <v>21000</v>
      </c>
      <c r="O244" s="74">
        <f t="shared" si="115"/>
        <v>0.7442944594977449</v>
      </c>
      <c r="P244" s="84">
        <f t="shared" si="116"/>
        <v>6</v>
      </c>
      <c r="Q244" s="1">
        <f t="shared" si="117"/>
        <v>10.565100000000001</v>
      </c>
      <c r="R244" s="1">
        <f t="shared" si="118"/>
        <v>2131.7181326742525</v>
      </c>
      <c r="S244" s="1">
        <f t="shared" si="119"/>
        <v>17.608500000000003</v>
      </c>
      <c r="T244" s="60">
        <f t="shared" si="106"/>
        <v>21.130200000000002</v>
      </c>
      <c r="U244" s="101">
        <f t="shared" si="120"/>
        <v>14902.486910994765</v>
      </c>
      <c r="V244" s="102">
        <f t="shared" si="107"/>
        <v>8199.20436963351</v>
      </c>
      <c r="W244" s="102">
        <f t="shared" si="121"/>
        <v>14185.5</v>
      </c>
      <c r="X244" s="102">
        <f t="shared" si="122"/>
        <v>11366.74</v>
      </c>
      <c r="Y244" s="103">
        <f t="shared" si="108"/>
        <v>47628</v>
      </c>
      <c r="AB244" s="76"/>
      <c r="AC244" s="76"/>
      <c r="AD244" s="76"/>
      <c r="AE244" s="77"/>
      <c r="AF244" s="78"/>
      <c r="AG244" s="24"/>
      <c r="AH244" s="53"/>
      <c r="AI244" s="53"/>
      <c r="AJ244" s="53"/>
      <c r="AK244" s="53"/>
      <c r="AL244" s="53"/>
      <c r="AM244" s="1"/>
      <c r="AN244" s="1"/>
    </row>
    <row r="245" spans="2:40" ht="12.75">
      <c r="B245" s="122">
        <f t="shared" si="103"/>
        <v>39225.084084606664</v>
      </c>
      <c r="C245">
        <v>0</v>
      </c>
      <c r="D245" s="2">
        <v>0.001</v>
      </c>
      <c r="E245">
        <v>0.6</v>
      </c>
      <c r="F245">
        <f t="shared" si="112"/>
        <v>130.69999999999945</v>
      </c>
      <c r="G245" s="1">
        <f t="shared" si="104"/>
        <v>869.1936000000004</v>
      </c>
      <c r="H245" s="1">
        <f t="shared" si="111"/>
        <v>3.1680000000000064</v>
      </c>
      <c r="I245">
        <v>60</v>
      </c>
      <c r="J245" s="64">
        <f t="shared" si="113"/>
        <v>59.99999999999999</v>
      </c>
      <c r="K245" s="117">
        <f t="shared" si="109"/>
        <v>0.0004166666666666667</v>
      </c>
      <c r="L245" s="1">
        <f t="shared" si="114"/>
        <v>58048.12552146597</v>
      </c>
      <c r="M245" s="1">
        <f t="shared" si="105"/>
        <v>11308.076400285578</v>
      </c>
      <c r="N245" s="1">
        <f t="shared" si="123"/>
        <v>21000</v>
      </c>
      <c r="O245" s="74">
        <f t="shared" si="115"/>
        <v>0.5384798285850275</v>
      </c>
      <c r="P245" s="84">
        <f t="shared" si="116"/>
        <v>4</v>
      </c>
      <c r="Q245" s="1">
        <f t="shared" si="117"/>
        <v>5.8695</v>
      </c>
      <c r="R245" s="1">
        <f t="shared" si="118"/>
        <v>2137.5876326742523</v>
      </c>
      <c r="S245" s="1">
        <f t="shared" si="119"/>
        <v>9.7825</v>
      </c>
      <c r="T245" s="60">
        <f t="shared" si="106"/>
        <v>11.739</v>
      </c>
      <c r="U245" s="101">
        <f t="shared" si="120"/>
        <v>21459.581151832463</v>
      </c>
      <c r="V245" s="102">
        <f t="shared" si="107"/>
        <v>8199.20436963351</v>
      </c>
      <c r="W245" s="102">
        <f t="shared" si="121"/>
        <v>17022.6</v>
      </c>
      <c r="X245" s="102">
        <f t="shared" si="122"/>
        <v>11366.74</v>
      </c>
      <c r="Y245" s="103">
        <f t="shared" si="108"/>
        <v>0</v>
      </c>
      <c r="AB245" s="76"/>
      <c r="AC245" s="76"/>
      <c r="AD245" s="76"/>
      <c r="AE245" s="77"/>
      <c r="AF245" s="78"/>
      <c r="AG245" s="24"/>
      <c r="AH245" s="53"/>
      <c r="AI245" s="53"/>
      <c r="AJ245" s="53"/>
      <c r="AK245" s="53"/>
      <c r="AL245" s="53"/>
      <c r="AM245" s="1"/>
      <c r="AN245" s="1"/>
    </row>
    <row r="246" spans="2:40" ht="12.75">
      <c r="B246" s="122">
        <f t="shared" si="103"/>
        <v>39225.08450127333</v>
      </c>
      <c r="C246">
        <v>0</v>
      </c>
      <c r="D246" s="2">
        <v>0.001</v>
      </c>
      <c r="E246">
        <v>0.6</v>
      </c>
      <c r="F246">
        <f t="shared" si="112"/>
        <v>131.29999999999944</v>
      </c>
      <c r="G246" s="1">
        <f t="shared" si="104"/>
        <v>872.3616000000004</v>
      </c>
      <c r="H246" s="1">
        <f t="shared" si="111"/>
        <v>3.1680000000000064</v>
      </c>
      <c r="I246">
        <v>60</v>
      </c>
      <c r="J246" s="64">
        <f t="shared" si="113"/>
        <v>59.99999999999999</v>
      </c>
      <c r="K246" s="117">
        <f t="shared" si="109"/>
        <v>0.0004166666666666667</v>
      </c>
      <c r="L246" s="1">
        <f t="shared" si="114"/>
        <v>58048.12552146597</v>
      </c>
      <c r="M246" s="1">
        <f t="shared" si="105"/>
        <v>11308.076400285578</v>
      </c>
      <c r="N246" s="1">
        <f t="shared" si="123"/>
        <v>21000</v>
      </c>
      <c r="O246" s="74">
        <f t="shared" si="115"/>
        <v>0.5384798285850275</v>
      </c>
      <c r="P246" s="84">
        <f t="shared" si="116"/>
        <v>4</v>
      </c>
      <c r="Q246" s="1">
        <f t="shared" si="117"/>
        <v>5.8695</v>
      </c>
      <c r="R246" s="1">
        <f t="shared" si="118"/>
        <v>2143.457132674252</v>
      </c>
      <c r="S246" s="1">
        <f t="shared" si="119"/>
        <v>9.7825</v>
      </c>
      <c r="T246" s="60">
        <f t="shared" si="106"/>
        <v>11.739</v>
      </c>
      <c r="U246" s="101">
        <f t="shared" si="120"/>
        <v>21459.581151832463</v>
      </c>
      <c r="V246" s="102">
        <f t="shared" si="107"/>
        <v>8199.20436963351</v>
      </c>
      <c r="W246" s="102">
        <f t="shared" si="121"/>
        <v>17022.6</v>
      </c>
      <c r="X246" s="102">
        <f t="shared" si="122"/>
        <v>11366.74</v>
      </c>
      <c r="Y246" s="103">
        <f t="shared" si="108"/>
        <v>0</v>
      </c>
      <c r="AB246" s="76"/>
      <c r="AC246" s="76"/>
      <c r="AD246" s="76"/>
      <c r="AE246" s="77"/>
      <c r="AF246" s="78"/>
      <c r="AG246" s="24"/>
      <c r="AH246" s="53"/>
      <c r="AI246" s="53"/>
      <c r="AJ246" s="53"/>
      <c r="AK246" s="53"/>
      <c r="AL246" s="53"/>
      <c r="AM246" s="1"/>
      <c r="AN246" s="1"/>
    </row>
    <row r="247" spans="2:40" ht="12.75">
      <c r="B247" s="122">
        <f t="shared" si="103"/>
        <v>39225.08491794</v>
      </c>
      <c r="C247">
        <v>0</v>
      </c>
      <c r="D247" s="2">
        <v>0.001</v>
      </c>
      <c r="E247">
        <v>0.6</v>
      </c>
      <c r="F247">
        <f t="shared" si="112"/>
        <v>131.89999999999944</v>
      </c>
      <c r="G247" s="1">
        <f t="shared" si="104"/>
        <v>875.5296000000004</v>
      </c>
      <c r="H247" s="1">
        <f t="shared" si="111"/>
        <v>3.1680000000000064</v>
      </c>
      <c r="I247">
        <v>60</v>
      </c>
      <c r="J247" s="64">
        <f t="shared" si="113"/>
        <v>59.99999999999999</v>
      </c>
      <c r="K247" s="117">
        <f t="shared" si="109"/>
        <v>0.0004166666666666667</v>
      </c>
      <c r="L247" s="1">
        <f t="shared" si="114"/>
        <v>58048.12552146597</v>
      </c>
      <c r="M247" s="1">
        <f t="shared" si="105"/>
        <v>11308.076400285578</v>
      </c>
      <c r="N247" s="1">
        <f t="shared" si="123"/>
        <v>21000</v>
      </c>
      <c r="O247" s="74">
        <f t="shared" si="115"/>
        <v>0.5384798285850275</v>
      </c>
      <c r="P247" s="84">
        <f t="shared" si="116"/>
        <v>4</v>
      </c>
      <c r="Q247" s="1">
        <f t="shared" si="117"/>
        <v>5.8695</v>
      </c>
      <c r="R247" s="1">
        <f t="shared" si="118"/>
        <v>2149.326632674252</v>
      </c>
      <c r="S247" s="1">
        <f t="shared" si="119"/>
        <v>9.7825</v>
      </c>
      <c r="T247" s="60">
        <f t="shared" si="106"/>
        <v>11.739</v>
      </c>
      <c r="U247" s="101">
        <f t="shared" si="120"/>
        <v>21459.581151832463</v>
      </c>
      <c r="V247" s="102">
        <f t="shared" si="107"/>
        <v>8199.20436963351</v>
      </c>
      <c r="W247" s="102">
        <f t="shared" si="121"/>
        <v>17022.6</v>
      </c>
      <c r="X247" s="102">
        <f t="shared" si="122"/>
        <v>11366.74</v>
      </c>
      <c r="Y247" s="103">
        <f t="shared" si="108"/>
        <v>0</v>
      </c>
      <c r="AB247" s="76"/>
      <c r="AC247" s="76"/>
      <c r="AD247" s="76"/>
      <c r="AE247" s="77"/>
      <c r="AF247" s="78"/>
      <c r="AG247" s="24"/>
      <c r="AH247" s="53"/>
      <c r="AI247" s="53"/>
      <c r="AJ247" s="53"/>
      <c r="AK247" s="53"/>
      <c r="AL247" s="53"/>
      <c r="AM247" s="1"/>
      <c r="AN247" s="1"/>
    </row>
    <row r="248" spans="2:40" ht="12.75">
      <c r="B248" s="122">
        <f t="shared" si="103"/>
        <v>39225.08533460667</v>
      </c>
      <c r="C248">
        <v>0</v>
      </c>
      <c r="D248" s="2">
        <v>0.001</v>
      </c>
      <c r="E248">
        <v>0.6</v>
      </c>
      <c r="F248">
        <f t="shared" si="112"/>
        <v>132.49999999999943</v>
      </c>
      <c r="G248" s="1">
        <f t="shared" si="104"/>
        <v>878.6976000000004</v>
      </c>
      <c r="H248" s="1">
        <f t="shared" si="111"/>
        <v>3.1680000000000064</v>
      </c>
      <c r="I248">
        <v>60</v>
      </c>
      <c r="J248" s="64">
        <f t="shared" si="113"/>
        <v>59.99999999999999</v>
      </c>
      <c r="K248" s="117">
        <f t="shared" si="109"/>
        <v>0.0004166666666666667</v>
      </c>
      <c r="L248" s="1">
        <f t="shared" si="114"/>
        <v>58048.12552146597</v>
      </c>
      <c r="M248" s="1">
        <f t="shared" si="105"/>
        <v>11308.076400285578</v>
      </c>
      <c r="N248" s="1">
        <f t="shared" si="123"/>
        <v>21000</v>
      </c>
      <c r="O248" s="74">
        <f t="shared" si="115"/>
        <v>0.5384798285850275</v>
      </c>
      <c r="P248" s="84">
        <f t="shared" si="116"/>
        <v>4</v>
      </c>
      <c r="Q248" s="1">
        <f t="shared" si="117"/>
        <v>5.8695</v>
      </c>
      <c r="R248" s="1">
        <f t="shared" si="118"/>
        <v>2155.1961326742517</v>
      </c>
      <c r="S248" s="1">
        <f t="shared" si="119"/>
        <v>9.7825</v>
      </c>
      <c r="T248" s="60">
        <f t="shared" si="106"/>
        <v>11.739</v>
      </c>
      <c r="U248" s="101">
        <f t="shared" si="120"/>
        <v>21459.581151832463</v>
      </c>
      <c r="V248" s="102">
        <f t="shared" si="107"/>
        <v>8199.20436963351</v>
      </c>
      <c r="W248" s="102">
        <f t="shared" si="121"/>
        <v>17022.6</v>
      </c>
      <c r="X248" s="102">
        <f t="shared" si="122"/>
        <v>11366.74</v>
      </c>
      <c r="Y248" s="103">
        <f t="shared" si="108"/>
        <v>0</v>
      </c>
      <c r="AB248" s="76"/>
      <c r="AC248" s="76"/>
      <c r="AD248" s="76"/>
      <c r="AE248" s="77"/>
      <c r="AF248" s="78"/>
      <c r="AG248" s="24"/>
      <c r="AH248" s="53"/>
      <c r="AI248" s="53"/>
      <c r="AJ248" s="53"/>
      <c r="AK248" s="53"/>
      <c r="AL248" s="53"/>
      <c r="AM248" s="1"/>
      <c r="AN248" s="1"/>
    </row>
    <row r="249" spans="2:40" ht="12.75">
      <c r="B249" s="122">
        <f t="shared" si="103"/>
        <v>39225.08575127334</v>
      </c>
      <c r="C249">
        <v>0</v>
      </c>
      <c r="D249" s="2">
        <v>0.001</v>
      </c>
      <c r="E249">
        <v>0.6</v>
      </c>
      <c r="F249">
        <f t="shared" si="112"/>
        <v>133.09999999999943</v>
      </c>
      <c r="G249" s="1">
        <f t="shared" si="104"/>
        <v>881.8656000000004</v>
      </c>
      <c r="H249" s="1">
        <f t="shared" si="111"/>
        <v>3.1680000000000064</v>
      </c>
      <c r="I249">
        <v>60</v>
      </c>
      <c r="J249" s="64">
        <f t="shared" si="113"/>
        <v>59.99999999999999</v>
      </c>
      <c r="K249" s="117">
        <f t="shared" si="109"/>
        <v>0.0004166666666666667</v>
      </c>
      <c r="L249" s="1">
        <f t="shared" si="114"/>
        <v>58048.12552146597</v>
      </c>
      <c r="M249" s="1">
        <f t="shared" si="105"/>
        <v>11308.076400285578</v>
      </c>
      <c r="N249" s="1">
        <f t="shared" si="123"/>
        <v>21000</v>
      </c>
      <c r="O249" s="74">
        <f t="shared" si="115"/>
        <v>0.5384798285850275</v>
      </c>
      <c r="P249" s="84">
        <f t="shared" si="116"/>
        <v>4</v>
      </c>
      <c r="Q249" s="1">
        <f t="shared" si="117"/>
        <v>5.8695</v>
      </c>
      <c r="R249" s="1">
        <f t="shared" si="118"/>
        <v>2161.0656326742514</v>
      </c>
      <c r="S249" s="1">
        <f t="shared" si="119"/>
        <v>9.7825</v>
      </c>
      <c r="T249" s="60">
        <f t="shared" si="106"/>
        <v>11.739</v>
      </c>
      <c r="U249" s="101">
        <f t="shared" si="120"/>
        <v>21459.581151832463</v>
      </c>
      <c r="V249" s="102">
        <f t="shared" si="107"/>
        <v>8199.20436963351</v>
      </c>
      <c r="W249" s="102">
        <f t="shared" si="121"/>
        <v>17022.6</v>
      </c>
      <c r="X249" s="102">
        <f t="shared" si="122"/>
        <v>11366.74</v>
      </c>
      <c r="Y249" s="103">
        <f t="shared" si="108"/>
        <v>0</v>
      </c>
      <c r="AB249" s="76"/>
      <c r="AC249" s="76"/>
      <c r="AD249" s="76"/>
      <c r="AE249" s="77"/>
      <c r="AF249" s="78"/>
      <c r="AG249" s="24"/>
      <c r="AH249" s="53"/>
      <c r="AI249" s="53"/>
      <c r="AJ249" s="53"/>
      <c r="AK249" s="53"/>
      <c r="AL249" s="53"/>
      <c r="AM249" s="1"/>
      <c r="AN249" s="1"/>
    </row>
    <row r="250" spans="2:40" ht="12.75">
      <c r="B250" s="122">
        <f t="shared" si="103"/>
        <v>39225.08616794001</v>
      </c>
      <c r="C250">
        <v>0</v>
      </c>
      <c r="D250" s="2">
        <v>0.001</v>
      </c>
      <c r="E250">
        <v>0.6</v>
      </c>
      <c r="F250">
        <f t="shared" si="112"/>
        <v>133.69999999999942</v>
      </c>
      <c r="G250" s="1">
        <f t="shared" si="104"/>
        <v>885.0336000000004</v>
      </c>
      <c r="H250" s="1">
        <f t="shared" si="111"/>
        <v>3.1680000000000064</v>
      </c>
      <c r="I250">
        <v>60</v>
      </c>
      <c r="J250" s="64">
        <f t="shared" si="113"/>
        <v>59.99999999999999</v>
      </c>
      <c r="K250" s="117">
        <f t="shared" si="109"/>
        <v>0.0004166666666666667</v>
      </c>
      <c r="L250" s="1">
        <f t="shared" si="114"/>
        <v>58048.12552146597</v>
      </c>
      <c r="M250" s="1">
        <f t="shared" si="105"/>
        <v>11308.076400285578</v>
      </c>
      <c r="N250" s="1">
        <f t="shared" si="123"/>
        <v>21000</v>
      </c>
      <c r="O250" s="74">
        <f t="shared" si="115"/>
        <v>0.5384798285850275</v>
      </c>
      <c r="P250" s="84">
        <f t="shared" si="116"/>
        <v>4</v>
      </c>
      <c r="Q250" s="1">
        <f t="shared" si="117"/>
        <v>5.8695</v>
      </c>
      <c r="R250" s="1">
        <f t="shared" si="118"/>
        <v>2166.9351326742512</v>
      </c>
      <c r="S250" s="1">
        <f t="shared" si="119"/>
        <v>9.7825</v>
      </c>
      <c r="T250" s="60">
        <f t="shared" si="106"/>
        <v>11.739</v>
      </c>
      <c r="U250" s="101">
        <f t="shared" si="120"/>
        <v>21459.581151832463</v>
      </c>
      <c r="V250" s="102">
        <f t="shared" si="107"/>
        <v>8199.20436963351</v>
      </c>
      <c r="W250" s="102">
        <f t="shared" si="121"/>
        <v>17022.6</v>
      </c>
      <c r="X250" s="102">
        <f t="shared" si="122"/>
        <v>11366.74</v>
      </c>
      <c r="Y250" s="103">
        <f t="shared" si="108"/>
        <v>0</v>
      </c>
      <c r="AB250" s="76"/>
      <c r="AC250" s="76"/>
      <c r="AD250" s="76"/>
      <c r="AE250" s="77"/>
      <c r="AF250" s="78"/>
      <c r="AG250" s="24"/>
      <c r="AH250" s="53"/>
      <c r="AI250" s="53"/>
      <c r="AJ250" s="53"/>
      <c r="AK250" s="53"/>
      <c r="AL250" s="53"/>
      <c r="AM250" s="1"/>
      <c r="AN250" s="1"/>
    </row>
    <row r="251" spans="2:40" ht="12.75">
      <c r="B251" s="122">
        <f t="shared" si="103"/>
        <v>39225.08658460668</v>
      </c>
      <c r="C251">
        <v>0</v>
      </c>
      <c r="D251" s="2">
        <v>-0.001</v>
      </c>
      <c r="E251">
        <v>0.6</v>
      </c>
      <c r="F251">
        <f t="shared" si="112"/>
        <v>134.29999999999941</v>
      </c>
      <c r="G251" s="1">
        <f t="shared" si="104"/>
        <v>881.8656000000004</v>
      </c>
      <c r="H251" s="1">
        <f t="shared" si="111"/>
        <v>0</v>
      </c>
      <c r="I251">
        <v>60</v>
      </c>
      <c r="J251" s="64">
        <f t="shared" si="113"/>
        <v>60.000000000000014</v>
      </c>
      <c r="K251" s="117">
        <f t="shared" si="109"/>
        <v>0.00041666666666666653</v>
      </c>
      <c r="L251" s="1">
        <f t="shared" si="114"/>
        <v>35314.64552146597</v>
      </c>
      <c r="M251" s="1">
        <f t="shared" si="105"/>
        <v>6879.47640028558</v>
      </c>
      <c r="N251" s="1">
        <f t="shared" si="123"/>
        <v>21000</v>
      </c>
      <c r="O251" s="74">
        <f t="shared" si="115"/>
        <v>0.32759411429931334</v>
      </c>
      <c r="P251" s="84">
        <f t="shared" si="116"/>
        <v>3</v>
      </c>
      <c r="Q251" s="1">
        <f t="shared" si="117"/>
        <v>4.402124999999999</v>
      </c>
      <c r="R251" s="1">
        <f t="shared" si="118"/>
        <v>2171.3372576742513</v>
      </c>
      <c r="S251" s="1">
        <f t="shared" si="119"/>
        <v>7.336874999999998</v>
      </c>
      <c r="T251" s="60">
        <f t="shared" si="106"/>
        <v>8.804249999999998</v>
      </c>
      <c r="U251" s="101">
        <f t="shared" si="120"/>
        <v>21459.581151832463</v>
      </c>
      <c r="V251" s="102">
        <f t="shared" si="107"/>
        <v>8199.20436963351</v>
      </c>
      <c r="W251" s="102">
        <f t="shared" si="121"/>
        <v>17022.6</v>
      </c>
      <c r="X251" s="102">
        <f t="shared" si="122"/>
        <v>-11366.74</v>
      </c>
      <c r="Y251" s="103">
        <f t="shared" si="108"/>
        <v>0</v>
      </c>
      <c r="AB251" s="76"/>
      <c r="AC251" s="76"/>
      <c r="AD251" s="76"/>
      <c r="AE251" s="77"/>
      <c r="AF251" s="78"/>
      <c r="AG251" s="24"/>
      <c r="AH251" s="53"/>
      <c r="AI251" s="53"/>
      <c r="AJ251" s="53"/>
      <c r="AK251" s="53"/>
      <c r="AL251" s="53"/>
      <c r="AM251" s="1"/>
      <c r="AN251" s="1"/>
    </row>
    <row r="252" spans="2:40" ht="12.75">
      <c r="B252" s="122">
        <f t="shared" si="103"/>
        <v>39225.08700127335</v>
      </c>
      <c r="C252">
        <v>3</v>
      </c>
      <c r="D252" s="2">
        <v>-0.001</v>
      </c>
      <c r="E252">
        <v>0.6</v>
      </c>
      <c r="F252">
        <f t="shared" si="112"/>
        <v>134.8999999999994</v>
      </c>
      <c r="G252" s="1">
        <f t="shared" si="104"/>
        <v>878.6976000000004</v>
      </c>
      <c r="H252" s="1">
        <f t="shared" si="111"/>
        <v>0</v>
      </c>
      <c r="I252">
        <v>60</v>
      </c>
      <c r="J252" s="64">
        <f t="shared" si="113"/>
        <v>59.99999999999999</v>
      </c>
      <c r="K252" s="117">
        <f t="shared" si="109"/>
        <v>0.0004166666666666667</v>
      </c>
      <c r="L252" s="1">
        <f t="shared" si="114"/>
        <v>82944.24992146596</v>
      </c>
      <c r="M252" s="1">
        <f t="shared" si="105"/>
        <v>16157.97076392194</v>
      </c>
      <c r="N252" s="1">
        <f t="shared" si="123"/>
        <v>21000</v>
      </c>
      <c r="O252" s="74">
        <f t="shared" si="115"/>
        <v>0.7694271792343781</v>
      </c>
      <c r="P252" s="84">
        <f t="shared" si="116"/>
        <v>6</v>
      </c>
      <c r="Q252" s="1">
        <f t="shared" si="117"/>
        <v>8.80425</v>
      </c>
      <c r="R252" s="1">
        <f t="shared" si="118"/>
        <v>2180.1415076742514</v>
      </c>
      <c r="S252" s="1">
        <f t="shared" si="119"/>
        <v>14.67375</v>
      </c>
      <c r="T252" s="60">
        <f t="shared" si="106"/>
        <v>17.6085</v>
      </c>
      <c r="U252" s="101">
        <f t="shared" si="120"/>
        <v>21459.581151832463</v>
      </c>
      <c r="V252" s="102">
        <f t="shared" si="107"/>
        <v>8199.20436963351</v>
      </c>
      <c r="W252" s="102">
        <f t="shared" si="121"/>
        <v>17022.6</v>
      </c>
      <c r="X252" s="102">
        <f t="shared" si="122"/>
        <v>-11366.74</v>
      </c>
      <c r="Y252" s="103">
        <f t="shared" si="108"/>
        <v>47629.6044</v>
      </c>
      <c r="AB252" s="76"/>
      <c r="AC252" s="76"/>
      <c r="AD252" s="76"/>
      <c r="AE252" s="77"/>
      <c r="AF252" s="78"/>
      <c r="AG252" s="24"/>
      <c r="AH252" s="53"/>
      <c r="AI252" s="53"/>
      <c r="AJ252" s="53"/>
      <c r="AK252" s="53"/>
      <c r="AL252" s="53"/>
      <c r="AM252" s="1"/>
      <c r="AN252" s="1"/>
    </row>
    <row r="253" spans="2:40" ht="12.75">
      <c r="B253" s="122">
        <f t="shared" si="103"/>
        <v>39225.087556828905</v>
      </c>
      <c r="C253">
        <v>4</v>
      </c>
      <c r="D253" s="2">
        <v>-0.001</v>
      </c>
      <c r="E253">
        <v>0.6</v>
      </c>
      <c r="F253">
        <f t="shared" si="112"/>
        <v>135.4999999999994</v>
      </c>
      <c r="G253" s="1">
        <f t="shared" si="104"/>
        <v>875.5296000000004</v>
      </c>
      <c r="H253" s="1">
        <f>IF(G253-G252&gt;0,G253-G252,0)</f>
        <v>0</v>
      </c>
      <c r="I253">
        <v>45</v>
      </c>
      <c r="J253" s="64">
        <f t="shared" si="113"/>
        <v>45.00000000000001</v>
      </c>
      <c r="K253" s="117">
        <f t="shared" si="109"/>
        <v>0.0005555555555555554</v>
      </c>
      <c r="L253" s="1">
        <f t="shared" si="114"/>
        <v>132804.56796753927</v>
      </c>
      <c r="M253" s="1">
        <f t="shared" si="105"/>
        <v>19403.26480045217</v>
      </c>
      <c r="N253" s="1">
        <f t="shared" si="123"/>
        <v>21000</v>
      </c>
      <c r="O253" s="74">
        <f t="shared" si="115"/>
        <v>0.9239649904977223</v>
      </c>
      <c r="P253" s="84">
        <f t="shared" si="116"/>
        <v>8</v>
      </c>
      <c r="Q253" s="1">
        <f t="shared" si="117"/>
        <v>15.651999999999997</v>
      </c>
      <c r="R253" s="1">
        <f t="shared" si="118"/>
        <v>2195.7935076742515</v>
      </c>
      <c r="S253" s="1">
        <f t="shared" si="119"/>
        <v>26.086666666666662</v>
      </c>
      <c r="T253" s="60">
        <f t="shared" si="106"/>
        <v>31.303999999999995</v>
      </c>
      <c r="U253" s="101">
        <f t="shared" si="120"/>
        <v>12071.01439790576</v>
      </c>
      <c r="V253" s="102">
        <f t="shared" si="107"/>
        <v>8199.20436963351</v>
      </c>
      <c r="W253" s="102">
        <f t="shared" si="121"/>
        <v>12766.95</v>
      </c>
      <c r="X253" s="102">
        <f t="shared" si="122"/>
        <v>-11366.74</v>
      </c>
      <c r="Y253" s="103">
        <f t="shared" si="108"/>
        <v>111134.1392</v>
      </c>
      <c r="AB253" s="76"/>
      <c r="AC253" s="76"/>
      <c r="AD253" s="76"/>
      <c r="AE253" s="77"/>
      <c r="AF253" s="78"/>
      <c r="AG253" s="24"/>
      <c r="AH253" s="53"/>
      <c r="AI253" s="53"/>
      <c r="AJ253" s="53"/>
      <c r="AK253" s="53"/>
      <c r="AL253" s="53"/>
      <c r="AM253" s="1"/>
      <c r="AN253" s="1"/>
    </row>
    <row r="254" spans="2:40" ht="12.75">
      <c r="B254" s="122">
        <f t="shared" si="103"/>
        <v>39225.08827111462</v>
      </c>
      <c r="C254">
        <v>4</v>
      </c>
      <c r="D254" s="2">
        <v>-0.001</v>
      </c>
      <c r="E254">
        <v>0.6</v>
      </c>
      <c r="F254">
        <f t="shared" si="112"/>
        <v>136.0999999999994</v>
      </c>
      <c r="G254" s="1">
        <f t="shared" si="104"/>
        <v>872.3616000000004</v>
      </c>
      <c r="H254" s="1">
        <f aca="true" t="shared" si="124" ref="H254:H271">IF(G254-G253&gt;0,G254-G253,0)</f>
        <v>0</v>
      </c>
      <c r="I254">
        <v>35</v>
      </c>
      <c r="J254" s="64">
        <f t="shared" si="113"/>
        <v>35</v>
      </c>
      <c r="K254" s="117">
        <f t="shared" si="109"/>
        <v>0.0007142857142857143</v>
      </c>
      <c r="L254" s="1">
        <f t="shared" si="114"/>
        <v>141074.67215602094</v>
      </c>
      <c r="M254" s="1">
        <f t="shared" si="105"/>
        <v>16031.21274500238</v>
      </c>
      <c r="N254" s="1">
        <f t="shared" si="123"/>
        <v>21000</v>
      </c>
      <c r="O254" s="74">
        <f t="shared" si="115"/>
        <v>0.7633910830953514</v>
      </c>
      <c r="P254" s="84">
        <f t="shared" si="116"/>
        <v>6</v>
      </c>
      <c r="Q254" s="1">
        <f t="shared" si="117"/>
        <v>15.093</v>
      </c>
      <c r="R254" s="1">
        <f t="shared" si="118"/>
        <v>2210.8865076742513</v>
      </c>
      <c r="S254" s="1">
        <f t="shared" si="119"/>
        <v>25.155</v>
      </c>
      <c r="T254" s="60">
        <f t="shared" si="106"/>
        <v>30.186</v>
      </c>
      <c r="U254" s="101">
        <f t="shared" si="120"/>
        <v>7302.218586387436</v>
      </c>
      <c r="V254" s="102">
        <f t="shared" si="107"/>
        <v>8199.20436963351</v>
      </c>
      <c r="W254" s="102">
        <f t="shared" si="121"/>
        <v>9929.85</v>
      </c>
      <c r="X254" s="102">
        <f t="shared" si="122"/>
        <v>-11366.74</v>
      </c>
      <c r="Y254" s="103">
        <f t="shared" si="108"/>
        <v>127010.1392</v>
      </c>
      <c r="AB254" s="76"/>
      <c r="AC254" s="76"/>
      <c r="AD254" s="76"/>
      <c r="AE254" s="77"/>
      <c r="AF254" s="78"/>
      <c r="AG254" s="24"/>
      <c r="AH254" s="53"/>
      <c r="AI254" s="53"/>
      <c r="AJ254" s="53"/>
      <c r="AK254" s="53"/>
      <c r="AL254" s="53"/>
      <c r="AM254" s="1"/>
      <c r="AN254" s="1"/>
    </row>
    <row r="255" spans="2:40" ht="12.75">
      <c r="B255" s="122">
        <f t="shared" si="103"/>
        <v>39225.088725660076</v>
      </c>
      <c r="C255">
        <v>0</v>
      </c>
      <c r="D255" s="2">
        <v>-0.001</v>
      </c>
      <c r="E255">
        <v>0.6</v>
      </c>
      <c r="F255">
        <f t="shared" si="112"/>
        <v>136.6999999999994</v>
      </c>
      <c r="G255" s="1">
        <f t="shared" si="104"/>
        <v>869.1936000000004</v>
      </c>
      <c r="H255" s="1">
        <f t="shared" si="124"/>
        <v>0</v>
      </c>
      <c r="I255">
        <v>55</v>
      </c>
      <c r="J255" s="64">
        <f t="shared" si="113"/>
        <v>55</v>
      </c>
      <c r="K255" s="117">
        <f t="shared" si="109"/>
        <v>0.0004545454545454545</v>
      </c>
      <c r="L255" s="1">
        <f t="shared" si="114"/>
        <v>93972.52353193719</v>
      </c>
      <c r="M255" s="1">
        <f t="shared" si="105"/>
        <v>16780.807773560213</v>
      </c>
      <c r="N255" s="1">
        <f t="shared" si="123"/>
        <v>21000</v>
      </c>
      <c r="O255" s="74">
        <f t="shared" si="115"/>
        <v>0.7990860844552482</v>
      </c>
      <c r="P255" s="84">
        <f t="shared" si="116"/>
        <v>6</v>
      </c>
      <c r="Q255" s="1">
        <f t="shared" si="117"/>
        <v>9.604636363636363</v>
      </c>
      <c r="R255" s="1">
        <f t="shared" si="118"/>
        <v>2220.491144037888</v>
      </c>
      <c r="S255" s="1">
        <f t="shared" si="119"/>
        <v>16.007727272727273</v>
      </c>
      <c r="T255" s="60">
        <f t="shared" si="106"/>
        <v>19.209272727272726</v>
      </c>
      <c r="U255" s="101">
        <f t="shared" si="120"/>
        <v>18032.009162303668</v>
      </c>
      <c r="V255" s="102">
        <f t="shared" si="107"/>
        <v>8199.20436963351</v>
      </c>
      <c r="W255" s="102">
        <f t="shared" si="121"/>
        <v>15604.05</v>
      </c>
      <c r="X255" s="102">
        <f t="shared" si="122"/>
        <v>-11366.74</v>
      </c>
      <c r="Y255" s="103">
        <f t="shared" si="108"/>
        <v>63504</v>
      </c>
      <c r="AB255" s="76"/>
      <c r="AC255" s="76"/>
      <c r="AD255" s="76"/>
      <c r="AE255" s="77"/>
      <c r="AF255" s="78"/>
      <c r="AG255" s="24"/>
      <c r="AH255" s="53"/>
      <c r="AI255" s="53"/>
      <c r="AJ255" s="53"/>
      <c r="AK255" s="53"/>
      <c r="AL255" s="53"/>
      <c r="AM255" s="1"/>
      <c r="AN255" s="1"/>
    </row>
    <row r="256" spans="2:40" ht="12.75">
      <c r="B256" s="122">
        <f t="shared" si="103"/>
        <v>39225.089142326746</v>
      </c>
      <c r="C256">
        <v>0</v>
      </c>
      <c r="D256" s="2">
        <v>-0.001</v>
      </c>
      <c r="E256">
        <v>0.6</v>
      </c>
      <c r="F256">
        <f t="shared" si="112"/>
        <v>137.2999999999994</v>
      </c>
      <c r="G256" s="1">
        <f t="shared" si="104"/>
        <v>866.0256000000004</v>
      </c>
      <c r="H256" s="1">
        <f t="shared" si="124"/>
        <v>0</v>
      </c>
      <c r="I256">
        <v>60</v>
      </c>
      <c r="J256" s="64">
        <f t="shared" si="113"/>
        <v>60.000000000000014</v>
      </c>
      <c r="K256" s="117">
        <f t="shared" si="109"/>
        <v>0.00041666666666666653</v>
      </c>
      <c r="L256" s="1">
        <f t="shared" si="114"/>
        <v>35314.64552146597</v>
      </c>
      <c r="M256" s="1">
        <f t="shared" si="105"/>
        <v>6879.47640028558</v>
      </c>
      <c r="N256" s="1">
        <f t="shared" si="123"/>
        <v>21000</v>
      </c>
      <c r="O256" s="74">
        <f t="shared" si="115"/>
        <v>0.32759411429931334</v>
      </c>
      <c r="P256" s="84">
        <f t="shared" si="116"/>
        <v>3</v>
      </c>
      <c r="Q256" s="1">
        <f t="shared" si="117"/>
        <v>4.402124999999999</v>
      </c>
      <c r="R256" s="1">
        <f t="shared" si="118"/>
        <v>2224.893269037888</v>
      </c>
      <c r="S256" s="1">
        <f t="shared" si="119"/>
        <v>7.336874999999998</v>
      </c>
      <c r="T256" s="60">
        <f t="shared" si="106"/>
        <v>8.804249999999998</v>
      </c>
      <c r="U256" s="101">
        <f t="shared" si="120"/>
        <v>21459.581151832463</v>
      </c>
      <c r="V256" s="102">
        <f t="shared" si="107"/>
        <v>8199.20436963351</v>
      </c>
      <c r="W256" s="102">
        <f t="shared" si="121"/>
        <v>17022.6</v>
      </c>
      <c r="X256" s="102">
        <f t="shared" si="122"/>
        <v>-11366.74</v>
      </c>
      <c r="Y256" s="103">
        <f t="shared" si="108"/>
        <v>0</v>
      </c>
      <c r="AB256" s="76"/>
      <c r="AC256" s="76"/>
      <c r="AD256" s="76"/>
      <c r="AE256" s="77"/>
      <c r="AF256" s="78"/>
      <c r="AG256" s="24"/>
      <c r="AH256" s="53"/>
      <c r="AI256" s="53"/>
      <c r="AJ256" s="53"/>
      <c r="AK256" s="53"/>
      <c r="AL256" s="53"/>
      <c r="AM256" s="1"/>
      <c r="AN256" s="1"/>
    </row>
    <row r="257" spans="2:40" ht="12.75">
      <c r="B257" s="122">
        <f t="shared" si="103"/>
        <v>39225.089558993415</v>
      </c>
      <c r="C257">
        <v>0</v>
      </c>
      <c r="D257" s="2">
        <v>-0.001</v>
      </c>
      <c r="E257">
        <v>0.6</v>
      </c>
      <c r="F257">
        <f t="shared" si="112"/>
        <v>137.89999999999938</v>
      </c>
      <c r="G257" s="1">
        <f t="shared" si="104"/>
        <v>862.8576000000004</v>
      </c>
      <c r="H257" s="1">
        <f t="shared" si="124"/>
        <v>0</v>
      </c>
      <c r="I257">
        <v>60</v>
      </c>
      <c r="J257" s="64">
        <f t="shared" si="113"/>
        <v>60.000000000000014</v>
      </c>
      <c r="K257" s="117">
        <f t="shared" si="109"/>
        <v>0.00041666666666666653</v>
      </c>
      <c r="L257" s="1">
        <f t="shared" si="114"/>
        <v>35314.64552146597</v>
      </c>
      <c r="M257" s="1">
        <f t="shared" si="105"/>
        <v>6879.47640028558</v>
      </c>
      <c r="N257" s="1">
        <f t="shared" si="123"/>
        <v>21000</v>
      </c>
      <c r="O257" s="74">
        <f t="shared" si="115"/>
        <v>0.32759411429931334</v>
      </c>
      <c r="P257" s="84">
        <f t="shared" si="116"/>
        <v>3</v>
      </c>
      <c r="Q257" s="1">
        <f t="shared" si="117"/>
        <v>4.402124999999999</v>
      </c>
      <c r="R257" s="1">
        <f t="shared" si="118"/>
        <v>2229.295394037888</v>
      </c>
      <c r="S257" s="1">
        <f t="shared" si="119"/>
        <v>7.336874999999998</v>
      </c>
      <c r="T257" s="60">
        <f t="shared" si="106"/>
        <v>8.804249999999998</v>
      </c>
      <c r="U257" s="101">
        <f t="shared" si="120"/>
        <v>21459.581151832463</v>
      </c>
      <c r="V257" s="102">
        <f t="shared" si="107"/>
        <v>8199.20436963351</v>
      </c>
      <c r="W257" s="102">
        <f t="shared" si="121"/>
        <v>17022.6</v>
      </c>
      <c r="X257" s="102">
        <f t="shared" si="122"/>
        <v>-11366.74</v>
      </c>
      <c r="Y257" s="103">
        <f t="shared" si="108"/>
        <v>0</v>
      </c>
      <c r="AB257" s="76"/>
      <c r="AC257" s="76"/>
      <c r="AD257" s="76"/>
      <c r="AE257" s="77"/>
      <c r="AF257" s="78"/>
      <c r="AG257" s="24"/>
      <c r="AH257" s="53"/>
      <c r="AI257" s="53"/>
      <c r="AJ257" s="53"/>
      <c r="AK257" s="53"/>
      <c r="AL257" s="53"/>
      <c r="AM257" s="1"/>
      <c r="AN257" s="1"/>
    </row>
    <row r="258" spans="2:40" ht="12.75">
      <c r="B258" s="122">
        <f t="shared" si="103"/>
        <v>39225.089975660085</v>
      </c>
      <c r="C258">
        <v>0</v>
      </c>
      <c r="D258" s="2">
        <v>-0.001</v>
      </c>
      <c r="E258">
        <v>0.6</v>
      </c>
      <c r="F258">
        <f t="shared" si="112"/>
        <v>138.49999999999937</v>
      </c>
      <c r="G258" s="1">
        <f t="shared" si="104"/>
        <v>859.6896000000004</v>
      </c>
      <c r="H258" s="1">
        <f t="shared" si="124"/>
        <v>0</v>
      </c>
      <c r="I258">
        <v>60</v>
      </c>
      <c r="J258" s="64">
        <f t="shared" si="113"/>
        <v>60.000000000000014</v>
      </c>
      <c r="K258" s="117">
        <f t="shared" si="109"/>
        <v>0.00041666666666666653</v>
      </c>
      <c r="L258" s="1">
        <f t="shared" si="114"/>
        <v>35314.64552146597</v>
      </c>
      <c r="M258" s="1">
        <f t="shared" si="105"/>
        <v>6879.47640028558</v>
      </c>
      <c r="N258" s="1">
        <f t="shared" si="123"/>
        <v>21000</v>
      </c>
      <c r="O258" s="74">
        <f t="shared" si="115"/>
        <v>0.32759411429931334</v>
      </c>
      <c r="P258" s="84">
        <f t="shared" si="116"/>
        <v>3</v>
      </c>
      <c r="Q258" s="1">
        <f t="shared" si="117"/>
        <v>4.402124999999999</v>
      </c>
      <c r="R258" s="1">
        <f t="shared" si="118"/>
        <v>2233.697519037888</v>
      </c>
      <c r="S258" s="1">
        <f t="shared" si="119"/>
        <v>7.336874999999998</v>
      </c>
      <c r="T258" s="60">
        <f t="shared" si="106"/>
        <v>8.804249999999998</v>
      </c>
      <c r="U258" s="101">
        <f t="shared" si="120"/>
        <v>21459.581151832463</v>
      </c>
      <c r="V258" s="102">
        <f t="shared" si="107"/>
        <v>8199.20436963351</v>
      </c>
      <c r="W258" s="102">
        <f t="shared" si="121"/>
        <v>17022.6</v>
      </c>
      <c r="X258" s="102">
        <f t="shared" si="122"/>
        <v>-11366.74</v>
      </c>
      <c r="Y258" s="103">
        <f t="shared" si="108"/>
        <v>0</v>
      </c>
      <c r="AB258" s="76"/>
      <c r="AC258" s="76"/>
      <c r="AD258" s="76"/>
      <c r="AE258" s="77"/>
      <c r="AF258" s="78"/>
      <c r="AG258" s="24"/>
      <c r="AH258" s="53"/>
      <c r="AI258" s="53"/>
      <c r="AJ258" s="53"/>
      <c r="AK258" s="53"/>
      <c r="AL258" s="53"/>
      <c r="AM258" s="1"/>
      <c r="AN258" s="1"/>
    </row>
    <row r="259" spans="2:40" ht="12.75">
      <c r="B259" s="122">
        <f t="shared" si="103"/>
        <v>39225.090392326754</v>
      </c>
      <c r="C259">
        <v>0</v>
      </c>
      <c r="D259" s="2">
        <v>-0.001</v>
      </c>
      <c r="E259">
        <v>0.6</v>
      </c>
      <c r="F259">
        <f t="shared" si="112"/>
        <v>139.09999999999937</v>
      </c>
      <c r="G259" s="1">
        <f t="shared" si="104"/>
        <v>856.5216000000004</v>
      </c>
      <c r="H259" s="1">
        <f t="shared" si="124"/>
        <v>0</v>
      </c>
      <c r="I259">
        <v>60</v>
      </c>
      <c r="J259" s="64">
        <f t="shared" si="113"/>
        <v>60.000000000000014</v>
      </c>
      <c r="K259" s="117">
        <f t="shared" si="109"/>
        <v>0.00041666666666666653</v>
      </c>
      <c r="L259" s="1">
        <f t="shared" si="114"/>
        <v>35314.64552146597</v>
      </c>
      <c r="M259" s="1">
        <f t="shared" si="105"/>
        <v>6879.47640028558</v>
      </c>
      <c r="N259" s="1">
        <f t="shared" si="123"/>
        <v>21000</v>
      </c>
      <c r="O259" s="74">
        <f t="shared" si="115"/>
        <v>0.32759411429931334</v>
      </c>
      <c r="P259" s="84">
        <f t="shared" si="116"/>
        <v>3</v>
      </c>
      <c r="Q259" s="1">
        <f t="shared" si="117"/>
        <v>4.402124999999999</v>
      </c>
      <c r="R259" s="1">
        <f t="shared" si="118"/>
        <v>2238.099644037888</v>
      </c>
      <c r="S259" s="1">
        <f t="shared" si="119"/>
        <v>7.336874999999998</v>
      </c>
      <c r="T259" s="60">
        <f t="shared" si="106"/>
        <v>8.804249999999998</v>
      </c>
      <c r="U259" s="101">
        <f t="shared" si="120"/>
        <v>21459.581151832463</v>
      </c>
      <c r="V259" s="102">
        <f t="shared" si="107"/>
        <v>8199.20436963351</v>
      </c>
      <c r="W259" s="102">
        <f t="shared" si="121"/>
        <v>17022.6</v>
      </c>
      <c r="X259" s="102">
        <f t="shared" si="122"/>
        <v>-11366.74</v>
      </c>
      <c r="Y259" s="103">
        <f t="shared" si="108"/>
        <v>0</v>
      </c>
      <c r="AB259" s="76"/>
      <c r="AC259" s="76"/>
      <c r="AD259" s="76"/>
      <c r="AE259" s="77"/>
      <c r="AF259" s="78"/>
      <c r="AG259" s="24"/>
      <c r="AH259" s="53"/>
      <c r="AI259" s="53"/>
      <c r="AJ259" s="53"/>
      <c r="AK259" s="53"/>
      <c r="AL259" s="53"/>
      <c r="AM259" s="1"/>
      <c r="AN259" s="1"/>
    </row>
    <row r="260" spans="2:40" ht="12.75">
      <c r="B260" s="122">
        <f t="shared" si="103"/>
        <v>39225.090808993424</v>
      </c>
      <c r="C260">
        <v>0</v>
      </c>
      <c r="D260" s="2">
        <v>0</v>
      </c>
      <c r="E260">
        <v>0.6</v>
      </c>
      <c r="F260">
        <f t="shared" si="112"/>
        <v>139.69999999999936</v>
      </c>
      <c r="G260" s="1">
        <f t="shared" si="104"/>
        <v>856.5216000000004</v>
      </c>
      <c r="H260" s="1">
        <f t="shared" si="124"/>
        <v>0</v>
      </c>
      <c r="I260">
        <v>60</v>
      </c>
      <c r="J260" s="64">
        <f t="shared" si="113"/>
        <v>60.000000000000014</v>
      </c>
      <c r="K260" s="117">
        <f t="shared" si="109"/>
        <v>0.00041666666666666653</v>
      </c>
      <c r="L260" s="1">
        <f t="shared" si="114"/>
        <v>46681.38552146597</v>
      </c>
      <c r="M260" s="1">
        <f t="shared" si="105"/>
        <v>9093.77640028558</v>
      </c>
      <c r="N260" s="1">
        <f t="shared" si="123"/>
        <v>21000</v>
      </c>
      <c r="O260" s="74">
        <f t="shared" si="115"/>
        <v>0.43303697144217046</v>
      </c>
      <c r="P260" s="84">
        <f t="shared" si="116"/>
        <v>4</v>
      </c>
      <c r="Q260" s="1">
        <f t="shared" si="117"/>
        <v>5.869499999999999</v>
      </c>
      <c r="R260" s="1">
        <f t="shared" si="118"/>
        <v>2243.969144037888</v>
      </c>
      <c r="S260" s="1">
        <f t="shared" si="119"/>
        <v>9.782499999999999</v>
      </c>
      <c r="T260" s="60">
        <f t="shared" si="106"/>
        <v>11.738999999999997</v>
      </c>
      <c r="U260" s="101">
        <f t="shared" si="120"/>
        <v>21459.581151832463</v>
      </c>
      <c r="V260" s="102">
        <f t="shared" si="107"/>
        <v>8199.20436963351</v>
      </c>
      <c r="W260" s="102">
        <f t="shared" si="121"/>
        <v>17022.6</v>
      </c>
      <c r="X260" s="102">
        <f t="shared" si="122"/>
        <v>0</v>
      </c>
      <c r="Y260" s="103">
        <f t="shared" si="108"/>
        <v>0</v>
      </c>
      <c r="AB260" s="76"/>
      <c r="AC260" s="76"/>
      <c r="AD260" s="76"/>
      <c r="AE260" s="77"/>
      <c r="AF260" s="78"/>
      <c r="AG260" s="24"/>
      <c r="AH260" s="53"/>
      <c r="AI260" s="53"/>
      <c r="AJ260" s="53"/>
      <c r="AK260" s="53"/>
      <c r="AL260" s="53"/>
      <c r="AM260" s="1"/>
      <c r="AN260" s="1"/>
    </row>
    <row r="261" spans="2:40" ht="12.75">
      <c r="B261" s="122">
        <f t="shared" si="103"/>
        <v>39225.09122566009</v>
      </c>
      <c r="C261">
        <v>0</v>
      </c>
      <c r="D261" s="2">
        <v>0</v>
      </c>
      <c r="E261">
        <v>0.6</v>
      </c>
      <c r="F261">
        <f t="shared" si="112"/>
        <v>140.29999999999936</v>
      </c>
      <c r="G261" s="1">
        <f t="shared" si="104"/>
        <v>856.5216000000004</v>
      </c>
      <c r="H261" s="1">
        <f t="shared" si="124"/>
        <v>0</v>
      </c>
      <c r="I261">
        <v>60</v>
      </c>
      <c r="J261" s="64">
        <f t="shared" si="113"/>
        <v>60.000000000000014</v>
      </c>
      <c r="K261" s="117">
        <f t="shared" si="109"/>
        <v>0.00041666666666666653</v>
      </c>
      <c r="L261" s="1">
        <f t="shared" si="114"/>
        <v>46681.38552146597</v>
      </c>
      <c r="M261" s="1">
        <f t="shared" si="105"/>
        <v>9093.77640028558</v>
      </c>
      <c r="N261" s="1">
        <f t="shared" si="123"/>
        <v>21000</v>
      </c>
      <c r="O261" s="74">
        <f t="shared" si="115"/>
        <v>0.43303697144217046</v>
      </c>
      <c r="P261" s="84">
        <f t="shared" si="116"/>
        <v>4</v>
      </c>
      <c r="Q261" s="1">
        <f t="shared" si="117"/>
        <v>5.869499999999999</v>
      </c>
      <c r="R261" s="1">
        <f t="shared" si="118"/>
        <v>2249.8386440378877</v>
      </c>
      <c r="S261" s="1">
        <f t="shared" si="119"/>
        <v>9.782499999999999</v>
      </c>
      <c r="T261" s="60">
        <f t="shared" si="106"/>
        <v>11.738999999999997</v>
      </c>
      <c r="U261" s="101">
        <f t="shared" si="120"/>
        <v>21459.581151832463</v>
      </c>
      <c r="V261" s="102">
        <f t="shared" si="107"/>
        <v>8199.20436963351</v>
      </c>
      <c r="W261" s="102">
        <f t="shared" si="121"/>
        <v>17022.6</v>
      </c>
      <c r="X261" s="102">
        <f t="shared" si="122"/>
        <v>0</v>
      </c>
      <c r="Y261" s="103">
        <f t="shared" si="108"/>
        <v>0</v>
      </c>
      <c r="AB261" s="76"/>
      <c r="AC261" s="76"/>
      <c r="AD261" s="76"/>
      <c r="AE261" s="77"/>
      <c r="AF261" s="78"/>
      <c r="AG261" s="24"/>
      <c r="AH261" s="53"/>
      <c r="AI261" s="53"/>
      <c r="AJ261" s="53"/>
      <c r="AK261" s="53"/>
      <c r="AL261" s="53"/>
      <c r="AM261" s="1"/>
      <c r="AN261" s="1"/>
    </row>
    <row r="262" spans="2:40" ht="12.75">
      <c r="B262" s="122">
        <f t="shared" si="103"/>
        <v>39225.09164232676</v>
      </c>
      <c r="C262">
        <v>0</v>
      </c>
      <c r="D262" s="2">
        <v>0</v>
      </c>
      <c r="E262">
        <v>0.6</v>
      </c>
      <c r="F262">
        <f t="shared" si="112"/>
        <v>140.89999999999935</v>
      </c>
      <c r="G262" s="1">
        <f t="shared" si="104"/>
        <v>856.5216000000004</v>
      </c>
      <c r="H262" s="1">
        <f t="shared" si="124"/>
        <v>0</v>
      </c>
      <c r="I262">
        <v>60</v>
      </c>
      <c r="J262" s="64">
        <f t="shared" si="113"/>
        <v>60.000000000000014</v>
      </c>
      <c r="K262" s="117">
        <f t="shared" si="109"/>
        <v>0.00041666666666666653</v>
      </c>
      <c r="L262" s="1">
        <f t="shared" si="114"/>
        <v>46681.38552146597</v>
      </c>
      <c r="M262" s="1">
        <f t="shared" si="105"/>
        <v>9093.77640028558</v>
      </c>
      <c r="N262" s="1">
        <f t="shared" si="123"/>
        <v>21000</v>
      </c>
      <c r="O262" s="74">
        <f t="shared" si="115"/>
        <v>0.43303697144217046</v>
      </c>
      <c r="P262" s="84">
        <f t="shared" si="116"/>
        <v>4</v>
      </c>
      <c r="Q262" s="1">
        <f t="shared" si="117"/>
        <v>5.869499999999999</v>
      </c>
      <c r="R262" s="1">
        <f t="shared" si="118"/>
        <v>2255.7081440378875</v>
      </c>
      <c r="S262" s="1">
        <f t="shared" si="119"/>
        <v>9.782499999999999</v>
      </c>
      <c r="T262" s="60">
        <f t="shared" si="106"/>
        <v>11.738999999999997</v>
      </c>
      <c r="U262" s="101">
        <f t="shared" si="120"/>
        <v>21459.581151832463</v>
      </c>
      <c r="V262" s="102">
        <f t="shared" si="107"/>
        <v>8199.20436963351</v>
      </c>
      <c r="W262" s="102">
        <f t="shared" si="121"/>
        <v>17022.6</v>
      </c>
      <c r="X262" s="102">
        <f t="shared" si="122"/>
        <v>0</v>
      </c>
      <c r="Y262" s="103">
        <f t="shared" si="108"/>
        <v>0</v>
      </c>
      <c r="AB262" s="76"/>
      <c r="AC262" s="76"/>
      <c r="AD262" s="76"/>
      <c r="AE262" s="77"/>
      <c r="AF262" s="78"/>
      <c r="AG262" s="24"/>
      <c r="AH262" s="53"/>
      <c r="AI262" s="53"/>
      <c r="AJ262" s="53"/>
      <c r="AK262" s="53"/>
      <c r="AL262" s="53"/>
      <c r="AM262" s="1"/>
      <c r="AN262" s="1"/>
    </row>
    <row r="263" spans="2:40" ht="12.75">
      <c r="B263" s="122">
        <f t="shared" si="103"/>
        <v>39225.09205899343</v>
      </c>
      <c r="C263">
        <v>0</v>
      </c>
      <c r="D263" s="2">
        <v>0</v>
      </c>
      <c r="E263">
        <v>0.6</v>
      </c>
      <c r="F263">
        <f t="shared" si="112"/>
        <v>141.49999999999935</v>
      </c>
      <c r="G263" s="1">
        <f t="shared" si="104"/>
        <v>856.5216000000004</v>
      </c>
      <c r="H263" s="1">
        <f t="shared" si="124"/>
        <v>0</v>
      </c>
      <c r="I263">
        <v>60</v>
      </c>
      <c r="J263" s="64">
        <f t="shared" si="113"/>
        <v>60.000000000000014</v>
      </c>
      <c r="K263" s="117">
        <f t="shared" si="109"/>
        <v>0.00041666666666666653</v>
      </c>
      <c r="L263" s="1">
        <f t="shared" si="114"/>
        <v>46681.38552146597</v>
      </c>
      <c r="M263" s="1">
        <f t="shared" si="105"/>
        <v>9093.77640028558</v>
      </c>
      <c r="N263" s="1">
        <f t="shared" si="123"/>
        <v>21000</v>
      </c>
      <c r="O263" s="74">
        <f t="shared" si="115"/>
        <v>0.43303697144217046</v>
      </c>
      <c r="P263" s="84">
        <f t="shared" si="116"/>
        <v>4</v>
      </c>
      <c r="Q263" s="1">
        <f t="shared" si="117"/>
        <v>5.869499999999999</v>
      </c>
      <c r="R263" s="1">
        <f t="shared" si="118"/>
        <v>2261.5776440378872</v>
      </c>
      <c r="S263" s="1">
        <f t="shared" si="119"/>
        <v>9.782499999999999</v>
      </c>
      <c r="T263" s="60">
        <f t="shared" si="106"/>
        <v>11.738999999999997</v>
      </c>
      <c r="U263" s="101">
        <f t="shared" si="120"/>
        <v>21459.581151832463</v>
      </c>
      <c r="V263" s="102">
        <f t="shared" si="107"/>
        <v>8199.20436963351</v>
      </c>
      <c r="W263" s="102">
        <f t="shared" si="121"/>
        <v>17022.6</v>
      </c>
      <c r="X263" s="102">
        <f t="shared" si="122"/>
        <v>0</v>
      </c>
      <c r="Y263" s="103">
        <f t="shared" si="108"/>
        <v>0</v>
      </c>
      <c r="AB263" s="76"/>
      <c r="AC263" s="76"/>
      <c r="AD263" s="76"/>
      <c r="AE263" s="77"/>
      <c r="AF263" s="78"/>
      <c r="AG263" s="24"/>
      <c r="AH263" s="53"/>
      <c r="AI263" s="53"/>
      <c r="AJ263" s="53"/>
      <c r="AK263" s="53"/>
      <c r="AL263" s="53"/>
      <c r="AM263" s="1"/>
      <c r="AN263" s="1"/>
    </row>
    <row r="264" spans="2:40" ht="12.75">
      <c r="B264" s="122">
        <f t="shared" si="103"/>
        <v>39225.092558993434</v>
      </c>
      <c r="C264">
        <v>4</v>
      </c>
      <c r="D264" s="2">
        <v>0</v>
      </c>
      <c r="E264">
        <v>0.6</v>
      </c>
      <c r="F264">
        <f t="shared" si="112"/>
        <v>142.09999999999934</v>
      </c>
      <c r="G264" s="1">
        <f t="shared" si="104"/>
        <v>856.5216000000004</v>
      </c>
      <c r="H264" s="1">
        <f t="shared" si="124"/>
        <v>0</v>
      </c>
      <c r="I264">
        <v>50</v>
      </c>
      <c r="J264" s="64">
        <f t="shared" si="113"/>
        <v>50.00000000000001</v>
      </c>
      <c r="K264" s="117">
        <f t="shared" si="109"/>
        <v>0.0004999999999999999</v>
      </c>
      <c r="L264" s="1">
        <f t="shared" si="114"/>
        <v>100793.33048062827</v>
      </c>
      <c r="M264" s="1">
        <f t="shared" si="105"/>
        <v>16362.553649452642</v>
      </c>
      <c r="N264" s="1">
        <f t="shared" si="123"/>
        <v>21000</v>
      </c>
      <c r="O264" s="74">
        <f t="shared" si="115"/>
        <v>0.7791692214025068</v>
      </c>
      <c r="P264" s="84">
        <f t="shared" si="116"/>
        <v>6</v>
      </c>
      <c r="Q264" s="1">
        <f t="shared" si="117"/>
        <v>10.565099999999997</v>
      </c>
      <c r="R264" s="1">
        <f t="shared" si="118"/>
        <v>2272.142744037887</v>
      </c>
      <c r="S264" s="1">
        <f t="shared" si="119"/>
        <v>17.608499999999996</v>
      </c>
      <c r="T264" s="60">
        <f t="shared" si="106"/>
        <v>21.130199999999995</v>
      </c>
      <c r="U264" s="101">
        <f t="shared" si="120"/>
        <v>14902.486910994765</v>
      </c>
      <c r="V264" s="102">
        <f t="shared" si="107"/>
        <v>8199.20436963351</v>
      </c>
      <c r="W264" s="102">
        <f t="shared" si="121"/>
        <v>14185.5</v>
      </c>
      <c r="X264" s="102">
        <f t="shared" si="122"/>
        <v>0</v>
      </c>
      <c r="Y264" s="103">
        <f t="shared" si="108"/>
        <v>63506.1392</v>
      </c>
      <c r="AB264" s="76"/>
      <c r="AC264" s="76"/>
      <c r="AD264" s="76"/>
      <c r="AE264" s="77"/>
      <c r="AF264" s="78"/>
      <c r="AG264" s="24"/>
      <c r="AH264" s="53"/>
      <c r="AI264" s="53"/>
      <c r="AJ264" s="53"/>
      <c r="AK264" s="53"/>
      <c r="AL264" s="53"/>
      <c r="AM264" s="1"/>
      <c r="AN264" s="1"/>
    </row>
    <row r="265" spans="2:40" ht="12.75">
      <c r="B265" s="122">
        <f t="shared" si="103"/>
        <v>39225.093058993436</v>
      </c>
      <c r="C265">
        <v>0</v>
      </c>
      <c r="D265" s="2">
        <v>0</v>
      </c>
      <c r="E265">
        <v>0.6</v>
      </c>
      <c r="F265">
        <f t="shared" si="112"/>
        <v>142.69999999999933</v>
      </c>
      <c r="G265" s="1">
        <f t="shared" si="104"/>
        <v>856.5216000000004</v>
      </c>
      <c r="H265" s="1">
        <f t="shared" si="124"/>
        <v>0</v>
      </c>
      <c r="I265">
        <v>50</v>
      </c>
      <c r="J265" s="64">
        <f t="shared" si="113"/>
        <v>50</v>
      </c>
      <c r="K265" s="117">
        <f t="shared" si="109"/>
        <v>0.0005</v>
      </c>
      <c r="L265" s="1">
        <f t="shared" si="114"/>
        <v>100791.19128062828</v>
      </c>
      <c r="M265" s="1">
        <f t="shared" si="105"/>
        <v>16362.20637672537</v>
      </c>
      <c r="N265" s="1">
        <f t="shared" si="123"/>
        <v>21000</v>
      </c>
      <c r="O265" s="74">
        <f t="shared" si="115"/>
        <v>0.77915268460597</v>
      </c>
      <c r="P265" s="84">
        <f t="shared" si="116"/>
        <v>6</v>
      </c>
      <c r="Q265" s="1">
        <f t="shared" si="117"/>
        <v>10.5651</v>
      </c>
      <c r="R265" s="1">
        <f t="shared" si="118"/>
        <v>2282.707844037887</v>
      </c>
      <c r="S265" s="1">
        <f t="shared" si="119"/>
        <v>17.6085</v>
      </c>
      <c r="T265" s="60">
        <f t="shared" si="106"/>
        <v>21.1302</v>
      </c>
      <c r="U265" s="101">
        <f t="shared" si="120"/>
        <v>14902.486910994765</v>
      </c>
      <c r="V265" s="102">
        <f t="shared" si="107"/>
        <v>8199.20436963351</v>
      </c>
      <c r="W265" s="102">
        <f t="shared" si="121"/>
        <v>14185.5</v>
      </c>
      <c r="X265" s="102">
        <f t="shared" si="122"/>
        <v>0</v>
      </c>
      <c r="Y265" s="103">
        <f t="shared" si="108"/>
        <v>63504</v>
      </c>
      <c r="AB265" s="76"/>
      <c r="AC265" s="76"/>
      <c r="AD265" s="76"/>
      <c r="AE265" s="77"/>
      <c r="AF265" s="78"/>
      <c r="AG265" s="24"/>
      <c r="AH265" s="53"/>
      <c r="AI265" s="53"/>
      <c r="AJ265" s="53"/>
      <c r="AK265" s="53"/>
      <c r="AL265" s="53"/>
      <c r="AM265" s="1"/>
      <c r="AN265" s="1"/>
    </row>
    <row r="266" spans="2:40" ht="12.75">
      <c r="B266" s="122">
        <f t="shared" si="103"/>
        <v>39225.093475660105</v>
      </c>
      <c r="C266">
        <v>0</v>
      </c>
      <c r="D266" s="2">
        <v>-0.002</v>
      </c>
      <c r="E266">
        <v>0.6</v>
      </c>
      <c r="F266">
        <f t="shared" si="112"/>
        <v>143.29999999999933</v>
      </c>
      <c r="G266" s="1">
        <f t="shared" si="104"/>
        <v>850.1856000000004</v>
      </c>
      <c r="H266" s="1">
        <f t="shared" si="124"/>
        <v>0</v>
      </c>
      <c r="I266">
        <v>60</v>
      </c>
      <c r="J266" s="64">
        <f t="shared" si="113"/>
        <v>60</v>
      </c>
      <c r="K266" s="117">
        <f t="shared" si="109"/>
        <v>0.0004166666666666667</v>
      </c>
      <c r="L266" s="1">
        <f t="shared" si="114"/>
        <v>23947.90552146597</v>
      </c>
      <c r="M266" s="1">
        <f t="shared" si="105"/>
        <v>4665.176400285579</v>
      </c>
      <c r="N266" s="1">
        <f t="shared" si="123"/>
        <v>21000</v>
      </c>
      <c r="O266" s="74">
        <f t="shared" si="115"/>
        <v>0.22215125715645614</v>
      </c>
      <c r="P266" s="84">
        <f t="shared" si="116"/>
        <v>2</v>
      </c>
      <c r="Q266" s="1">
        <f t="shared" si="117"/>
        <v>2.93475</v>
      </c>
      <c r="R266" s="1">
        <f t="shared" si="118"/>
        <v>2285.6425940378867</v>
      </c>
      <c r="S266" s="1">
        <f t="shared" si="119"/>
        <v>4.89125</v>
      </c>
      <c r="T266" s="60">
        <f t="shared" si="106"/>
        <v>5.8695</v>
      </c>
      <c r="U266" s="101">
        <f t="shared" si="120"/>
        <v>21459.581151832463</v>
      </c>
      <c r="V266" s="102">
        <f t="shared" si="107"/>
        <v>8199.20436963351</v>
      </c>
      <c r="W266" s="102">
        <f t="shared" si="121"/>
        <v>17022.6</v>
      </c>
      <c r="X266" s="102">
        <f t="shared" si="122"/>
        <v>-22733.48</v>
      </c>
      <c r="Y266" s="103">
        <f t="shared" si="108"/>
        <v>0</v>
      </c>
      <c r="AB266" s="76"/>
      <c r="AC266" s="76"/>
      <c r="AD266" s="76"/>
      <c r="AE266" s="77"/>
      <c r="AF266" s="78"/>
      <c r="AG266" s="24"/>
      <c r="AH266" s="53"/>
      <c r="AI266" s="53"/>
      <c r="AJ266" s="53"/>
      <c r="AK266" s="53"/>
      <c r="AL266" s="53"/>
      <c r="AM266" s="1"/>
      <c r="AN266" s="1"/>
    </row>
    <row r="267" spans="2:40" ht="12.75">
      <c r="B267" s="122">
        <f aca="true" t="shared" si="125" ref="B267:B330">(B266+(K267))</f>
        <v>39225.093892326775</v>
      </c>
      <c r="C267">
        <v>0</v>
      </c>
      <c r="D267" s="2">
        <v>-0.001</v>
      </c>
      <c r="E267">
        <v>0.6</v>
      </c>
      <c r="F267">
        <f t="shared" si="112"/>
        <v>143.89999999999932</v>
      </c>
      <c r="G267" s="1">
        <f aca="true" t="shared" si="126" ref="G267:G330">G266+E267*D267*5280</f>
        <v>847.0176000000004</v>
      </c>
      <c r="H267" s="1">
        <f t="shared" si="124"/>
        <v>0</v>
      </c>
      <c r="I267">
        <v>60</v>
      </c>
      <c r="J267" s="64">
        <f t="shared" si="113"/>
        <v>60.000000000000014</v>
      </c>
      <c r="K267" s="117">
        <f t="shared" si="109"/>
        <v>0.00041666666666666653</v>
      </c>
      <c r="L267" s="1">
        <f t="shared" si="114"/>
        <v>35314.64552146597</v>
      </c>
      <c r="M267" s="1">
        <f aca="true" t="shared" si="127" ref="M267:M330">$L267*$I267/308</f>
        <v>6879.47640028558</v>
      </c>
      <c r="N267" s="1">
        <f t="shared" si="123"/>
        <v>21000</v>
      </c>
      <c r="O267" s="74">
        <f t="shared" si="115"/>
        <v>0.32759411429931334</v>
      </c>
      <c r="P267" s="84">
        <f t="shared" si="116"/>
        <v>3</v>
      </c>
      <c r="Q267" s="1">
        <f t="shared" si="117"/>
        <v>4.402124999999999</v>
      </c>
      <c r="R267" s="1">
        <f t="shared" si="118"/>
        <v>2290.044719037887</v>
      </c>
      <c r="S267" s="1">
        <f t="shared" si="119"/>
        <v>7.336874999999998</v>
      </c>
      <c r="T267" s="60">
        <f aca="true" t="shared" si="128" ref="T267:T330">Q267*$AB$15</f>
        <v>8.804249999999998</v>
      </c>
      <c r="U267" s="101">
        <f t="shared" si="120"/>
        <v>21459.581151832463</v>
      </c>
      <c r="V267" s="102">
        <f aca="true" t="shared" si="129" ref="V267:V330">$AB$11*(1.3+0.29/((VLOOKUP($AB$10,$AA$36:$AI$44,9,0))/VLOOKUP($AB$10,$AA$36:$AI$44,8,0)))+(1.3+0.29/((VLOOKUP($AB$12,$AA$27:$AH$33,7,0))/VLOOKUP($AB$12,$AA$27:$AH$33,8,0)))*$AE$7</f>
        <v>8199.20436963351</v>
      </c>
      <c r="W267" s="102">
        <f t="shared" si="121"/>
        <v>17022.6</v>
      </c>
      <c r="X267" s="102">
        <f t="shared" si="122"/>
        <v>-11366.74</v>
      </c>
      <c r="Y267" s="103">
        <f aca="true" t="shared" si="130" ref="Y267:Y330">(IF(E267*5280&lt;$AE$8,($AB$14*(0.8*C266*((VLOOKUP($AB$12,$AA$27:$AH$33,7,0))/2000/2000))*$AE$7),0)+$AB$11*(0.8*C267*(VLOOKUP($AB$10,$AA$36:$AI$44,9,0))/2000)+$AB$14*(0.8*C267*((VLOOKUP($AB$12,$AA$27:$AH$33,7,0))/2000/2000))*$AE$7)</f>
        <v>0</v>
      </c>
      <c r="AB267" s="76"/>
      <c r="AC267" s="76"/>
      <c r="AD267" s="76"/>
      <c r="AE267" s="77"/>
      <c r="AF267" s="78"/>
      <c r="AG267" s="24"/>
      <c r="AH267" s="53"/>
      <c r="AI267" s="53"/>
      <c r="AJ267" s="53"/>
      <c r="AK267" s="53"/>
      <c r="AL267" s="53"/>
      <c r="AM267" s="1"/>
      <c r="AN267" s="1"/>
    </row>
    <row r="268" spans="2:40" ht="12.75">
      <c r="B268" s="122">
        <f t="shared" si="125"/>
        <v>39225.094308993444</v>
      </c>
      <c r="C268">
        <v>4</v>
      </c>
      <c r="D268" s="2">
        <v>-0.002</v>
      </c>
      <c r="E268">
        <v>0.6</v>
      </c>
      <c r="F268">
        <f t="shared" si="112"/>
        <v>144.49999999999932</v>
      </c>
      <c r="G268" s="1">
        <f t="shared" si="126"/>
        <v>840.6816000000003</v>
      </c>
      <c r="H268" s="1">
        <f t="shared" si="124"/>
        <v>0</v>
      </c>
      <c r="I268">
        <v>60</v>
      </c>
      <c r="J268" s="64">
        <f t="shared" si="113"/>
        <v>59.99999999999999</v>
      </c>
      <c r="K268" s="117">
        <f t="shared" si="109"/>
        <v>0.0004166666666666667</v>
      </c>
      <c r="L268" s="1">
        <f t="shared" si="114"/>
        <v>87454.04472146597</v>
      </c>
      <c r="M268" s="1">
        <f t="shared" si="127"/>
        <v>17036.502218467394</v>
      </c>
      <c r="N268" s="1">
        <f t="shared" si="123"/>
        <v>21000</v>
      </c>
      <c r="O268" s="74">
        <f t="shared" si="115"/>
        <v>0.8112620104032092</v>
      </c>
      <c r="P268" s="84">
        <f t="shared" si="116"/>
        <v>6</v>
      </c>
      <c r="Q268" s="1">
        <f t="shared" si="117"/>
        <v>8.80425</v>
      </c>
      <c r="R268" s="1">
        <f t="shared" si="118"/>
        <v>2298.848969037887</v>
      </c>
      <c r="S268" s="1">
        <f t="shared" si="119"/>
        <v>14.67375</v>
      </c>
      <c r="T268" s="60">
        <f t="shared" si="128"/>
        <v>17.6085</v>
      </c>
      <c r="U268" s="101">
        <f t="shared" si="120"/>
        <v>21459.581151832463</v>
      </c>
      <c r="V268" s="102">
        <f t="shared" si="129"/>
        <v>8199.20436963351</v>
      </c>
      <c r="W268" s="102">
        <f t="shared" si="121"/>
        <v>17022.6</v>
      </c>
      <c r="X268" s="102">
        <f t="shared" si="122"/>
        <v>-22733.48</v>
      </c>
      <c r="Y268" s="103">
        <f t="shared" si="130"/>
        <v>63506.1392</v>
      </c>
      <c r="AB268" s="76"/>
      <c r="AC268" s="76"/>
      <c r="AD268" s="76"/>
      <c r="AE268" s="77"/>
      <c r="AF268" s="78"/>
      <c r="AG268" s="24"/>
      <c r="AH268" s="53"/>
      <c r="AI268" s="53"/>
      <c r="AJ268" s="53"/>
      <c r="AK268" s="53"/>
      <c r="AL268" s="53"/>
      <c r="AM268" s="1"/>
      <c r="AN268" s="1"/>
    </row>
    <row r="269" spans="2:40" ht="12.75">
      <c r="B269" s="122">
        <f t="shared" si="125"/>
        <v>39225.094808993446</v>
      </c>
      <c r="C269">
        <v>0</v>
      </c>
      <c r="D269" s="2">
        <v>0</v>
      </c>
      <c r="E269">
        <v>0.6</v>
      </c>
      <c r="F269">
        <f t="shared" si="112"/>
        <v>145.0999999999993</v>
      </c>
      <c r="G269" s="1">
        <f t="shared" si="126"/>
        <v>840.6816000000003</v>
      </c>
      <c r="H269" s="1">
        <f t="shared" si="124"/>
        <v>0</v>
      </c>
      <c r="I269">
        <v>50</v>
      </c>
      <c r="J269" s="64">
        <f t="shared" si="113"/>
        <v>50</v>
      </c>
      <c r="K269" s="117">
        <f t="shared" si="109"/>
        <v>0.0005</v>
      </c>
      <c r="L269" s="1">
        <f t="shared" si="114"/>
        <v>100791.19128062828</v>
      </c>
      <c r="M269" s="1">
        <f t="shared" si="127"/>
        <v>16362.20637672537</v>
      </c>
      <c r="N269" s="1">
        <f t="shared" si="123"/>
        <v>21000</v>
      </c>
      <c r="O269" s="74">
        <f t="shared" si="115"/>
        <v>0.77915268460597</v>
      </c>
      <c r="P269" s="84">
        <f t="shared" si="116"/>
        <v>6</v>
      </c>
      <c r="Q269" s="1">
        <f t="shared" si="117"/>
        <v>10.5651</v>
      </c>
      <c r="R269" s="1">
        <f t="shared" si="118"/>
        <v>2309.4140690378867</v>
      </c>
      <c r="S269" s="1">
        <f t="shared" si="119"/>
        <v>17.6085</v>
      </c>
      <c r="T269" s="60">
        <f t="shared" si="128"/>
        <v>21.1302</v>
      </c>
      <c r="U269" s="101">
        <f t="shared" si="120"/>
        <v>14902.486910994765</v>
      </c>
      <c r="V269" s="102">
        <f t="shared" si="129"/>
        <v>8199.20436963351</v>
      </c>
      <c r="W269" s="102">
        <f t="shared" si="121"/>
        <v>14185.5</v>
      </c>
      <c r="X269" s="102">
        <f t="shared" si="122"/>
        <v>0</v>
      </c>
      <c r="Y269" s="103">
        <f t="shared" si="130"/>
        <v>63504</v>
      </c>
      <c r="AB269" s="76"/>
      <c r="AC269" s="76"/>
      <c r="AD269" s="76"/>
      <c r="AE269" s="77"/>
      <c r="AF269" s="78"/>
      <c r="AG269" s="24"/>
      <c r="AH269" s="53"/>
      <c r="AI269" s="53"/>
      <c r="AJ269" s="53"/>
      <c r="AK269" s="53"/>
      <c r="AL269" s="53"/>
      <c r="AM269" s="1"/>
      <c r="AN269" s="1"/>
    </row>
    <row r="270" spans="2:40" ht="12.75">
      <c r="B270" s="122">
        <f t="shared" si="125"/>
        <v>39225.095263538904</v>
      </c>
      <c r="C270">
        <v>3</v>
      </c>
      <c r="D270" s="2">
        <v>0</v>
      </c>
      <c r="E270">
        <v>0.6</v>
      </c>
      <c r="F270">
        <f t="shared" si="112"/>
        <v>145.6999999999993</v>
      </c>
      <c r="G270" s="1">
        <f t="shared" si="126"/>
        <v>840.6816000000003</v>
      </c>
      <c r="H270" s="1">
        <f t="shared" si="124"/>
        <v>0</v>
      </c>
      <c r="I270">
        <v>55</v>
      </c>
      <c r="J270" s="64">
        <f t="shared" si="113"/>
        <v>55</v>
      </c>
      <c r="K270" s="117">
        <f t="shared" si="109"/>
        <v>0.0004545454545454545</v>
      </c>
      <c r="L270" s="1">
        <f t="shared" si="114"/>
        <v>89464.86793193717</v>
      </c>
      <c r="M270" s="1">
        <f t="shared" si="127"/>
        <v>15975.869273560209</v>
      </c>
      <c r="N270" s="1">
        <f t="shared" si="123"/>
        <v>21000</v>
      </c>
      <c r="O270" s="74">
        <f t="shared" si="115"/>
        <v>0.7607556796933432</v>
      </c>
      <c r="P270" s="84">
        <f t="shared" si="116"/>
        <v>6</v>
      </c>
      <c r="Q270" s="1">
        <f t="shared" si="117"/>
        <v>9.604636363636363</v>
      </c>
      <c r="R270" s="1">
        <f t="shared" si="118"/>
        <v>2319.018705401523</v>
      </c>
      <c r="S270" s="1">
        <f t="shared" si="119"/>
        <v>16.007727272727273</v>
      </c>
      <c r="T270" s="60">
        <f t="shared" si="128"/>
        <v>19.209272727272726</v>
      </c>
      <c r="U270" s="101">
        <f t="shared" si="120"/>
        <v>18032.009162303668</v>
      </c>
      <c r="V270" s="102">
        <f t="shared" si="129"/>
        <v>8199.20436963351</v>
      </c>
      <c r="W270" s="102">
        <f t="shared" si="121"/>
        <v>15604.05</v>
      </c>
      <c r="X270" s="102">
        <f t="shared" si="122"/>
        <v>0</v>
      </c>
      <c r="Y270" s="103">
        <f t="shared" si="130"/>
        <v>47629.6044</v>
      </c>
      <c r="AB270" s="76"/>
      <c r="AC270" s="76"/>
      <c r="AD270" s="76"/>
      <c r="AE270" s="77"/>
      <c r="AF270" s="78"/>
      <c r="AG270" s="24"/>
      <c r="AH270" s="53"/>
      <c r="AI270" s="53"/>
      <c r="AJ270" s="53"/>
      <c r="AK270" s="53"/>
      <c r="AL270" s="53"/>
      <c r="AM270" s="1"/>
      <c r="AN270" s="1"/>
    </row>
    <row r="271" spans="2:40" ht="12.75">
      <c r="B271" s="122">
        <f t="shared" si="125"/>
        <v>39225.09571808436</v>
      </c>
      <c r="C271">
        <v>0</v>
      </c>
      <c r="D271" s="2">
        <v>0</v>
      </c>
      <c r="E271">
        <v>0.6</v>
      </c>
      <c r="F271">
        <f t="shared" si="112"/>
        <v>146.2999999999993</v>
      </c>
      <c r="G271" s="1">
        <f t="shared" si="126"/>
        <v>840.6816000000003</v>
      </c>
      <c r="H271" s="1">
        <f t="shared" si="124"/>
        <v>0</v>
      </c>
      <c r="I271">
        <v>55</v>
      </c>
      <c r="J271" s="64">
        <f t="shared" si="113"/>
        <v>55</v>
      </c>
      <c r="K271" s="117">
        <f t="shared" si="109"/>
        <v>0.0004545454545454545</v>
      </c>
      <c r="L271" s="1">
        <f t="shared" si="114"/>
        <v>89463.26353193718</v>
      </c>
      <c r="M271" s="1">
        <f t="shared" si="127"/>
        <v>15975.58277356021</v>
      </c>
      <c r="N271" s="1">
        <f t="shared" si="123"/>
        <v>21000</v>
      </c>
      <c r="O271" s="74">
        <f t="shared" si="115"/>
        <v>0.7607420368362005</v>
      </c>
      <c r="P271" s="84">
        <f t="shared" si="116"/>
        <v>6</v>
      </c>
      <c r="Q271" s="1">
        <f t="shared" si="117"/>
        <v>9.604636363636363</v>
      </c>
      <c r="R271" s="1">
        <f t="shared" si="118"/>
        <v>2328.6233417651597</v>
      </c>
      <c r="S271" s="1">
        <f t="shared" si="119"/>
        <v>16.007727272727273</v>
      </c>
      <c r="T271" s="60">
        <f t="shared" si="128"/>
        <v>19.209272727272726</v>
      </c>
      <c r="U271" s="101">
        <f t="shared" si="120"/>
        <v>18032.009162303668</v>
      </c>
      <c r="V271" s="102">
        <f t="shared" si="129"/>
        <v>8199.20436963351</v>
      </c>
      <c r="W271" s="102">
        <f t="shared" si="121"/>
        <v>15604.05</v>
      </c>
      <c r="X271" s="102">
        <f t="shared" si="122"/>
        <v>0</v>
      </c>
      <c r="Y271" s="103">
        <f t="shared" si="130"/>
        <v>47628</v>
      </c>
      <c r="AB271" s="76"/>
      <c r="AC271" s="76"/>
      <c r="AD271" s="76"/>
      <c r="AE271" s="77"/>
      <c r="AF271" s="78"/>
      <c r="AG271" s="24"/>
      <c r="AH271" s="53"/>
      <c r="AI271" s="53"/>
      <c r="AJ271" s="53"/>
      <c r="AK271" s="53"/>
      <c r="AL271" s="53"/>
      <c r="AM271" s="1"/>
      <c r="AN271" s="1"/>
    </row>
    <row r="272" spans="2:40" ht="12.75">
      <c r="B272" s="122">
        <f t="shared" si="125"/>
        <v>39225.09613475103</v>
      </c>
      <c r="C272">
        <v>0</v>
      </c>
      <c r="D272" s="2">
        <v>-0.002</v>
      </c>
      <c r="E272">
        <v>0.6</v>
      </c>
      <c r="F272">
        <f t="shared" si="112"/>
        <v>146.8999999999993</v>
      </c>
      <c r="G272" s="1">
        <f t="shared" si="126"/>
        <v>834.3456000000003</v>
      </c>
      <c r="H272" s="1">
        <f>IF(G272-G271&gt;0,G272-G271,0)</f>
        <v>0</v>
      </c>
      <c r="I272">
        <v>60</v>
      </c>
      <c r="J272" s="64">
        <f t="shared" si="113"/>
        <v>60</v>
      </c>
      <c r="K272" s="117">
        <f t="shared" si="109"/>
        <v>0.0004166666666666667</v>
      </c>
      <c r="L272" s="1">
        <f t="shared" si="114"/>
        <v>23947.90552146597</v>
      </c>
      <c r="M272" s="1">
        <f t="shared" si="127"/>
        <v>4665.176400285579</v>
      </c>
      <c r="N272" s="1">
        <f t="shared" si="123"/>
        <v>21000</v>
      </c>
      <c r="O272" s="74">
        <f t="shared" si="115"/>
        <v>0.22215125715645614</v>
      </c>
      <c r="P272" s="84">
        <f t="shared" si="116"/>
        <v>2</v>
      </c>
      <c r="Q272" s="1">
        <f t="shared" si="117"/>
        <v>2.93475</v>
      </c>
      <c r="R272" s="1">
        <f t="shared" si="118"/>
        <v>2331.5580917651596</v>
      </c>
      <c r="S272" s="1">
        <f t="shared" si="119"/>
        <v>4.89125</v>
      </c>
      <c r="T272" s="60">
        <f t="shared" si="128"/>
        <v>5.8695</v>
      </c>
      <c r="U272" s="101">
        <f t="shared" si="120"/>
        <v>21459.581151832463</v>
      </c>
      <c r="V272" s="102">
        <f t="shared" si="129"/>
        <v>8199.20436963351</v>
      </c>
      <c r="W272" s="102">
        <f t="shared" si="121"/>
        <v>17022.6</v>
      </c>
      <c r="X272" s="102">
        <f t="shared" si="122"/>
        <v>-22733.48</v>
      </c>
      <c r="Y272" s="103">
        <f t="shared" si="130"/>
        <v>0</v>
      </c>
      <c r="AB272" s="76"/>
      <c r="AC272" s="76"/>
      <c r="AD272" s="76"/>
      <c r="AE272" s="77"/>
      <c r="AF272" s="78"/>
      <c r="AG272" s="24"/>
      <c r="AH272" s="53"/>
      <c r="AI272" s="53"/>
      <c r="AJ272" s="53"/>
      <c r="AK272" s="53"/>
      <c r="AL272" s="53"/>
      <c r="AM272" s="1"/>
      <c r="AN272" s="1"/>
    </row>
    <row r="273" spans="2:40" ht="12.75">
      <c r="B273" s="122">
        <f t="shared" si="125"/>
        <v>39225.0965514177</v>
      </c>
      <c r="C273">
        <v>0</v>
      </c>
      <c r="D273" s="2">
        <v>-0.001</v>
      </c>
      <c r="E273">
        <v>0.6</v>
      </c>
      <c r="F273">
        <f t="shared" si="112"/>
        <v>147.4999999999993</v>
      </c>
      <c r="G273" s="1">
        <f t="shared" si="126"/>
        <v>831.1776000000003</v>
      </c>
      <c r="H273" s="1">
        <f aca="true" t="shared" si="131" ref="H273:H308">IF(G273-G272&gt;0,G273-G272,0)</f>
        <v>0</v>
      </c>
      <c r="I273">
        <v>60</v>
      </c>
      <c r="J273" s="64">
        <f t="shared" si="113"/>
        <v>60.000000000000014</v>
      </c>
      <c r="K273" s="117">
        <f aca="true" t="shared" si="132" ref="K273:K336">(E273/J273)/24</f>
        <v>0.00041666666666666653</v>
      </c>
      <c r="L273" s="1">
        <f t="shared" si="114"/>
        <v>35314.64552146597</v>
      </c>
      <c r="M273" s="1">
        <f t="shared" si="127"/>
        <v>6879.47640028558</v>
      </c>
      <c r="N273" s="1">
        <f t="shared" si="123"/>
        <v>21000</v>
      </c>
      <c r="O273" s="74">
        <f t="shared" si="115"/>
        <v>0.32759411429931334</v>
      </c>
      <c r="P273" s="84">
        <f t="shared" si="116"/>
        <v>3</v>
      </c>
      <c r="Q273" s="1">
        <f t="shared" si="117"/>
        <v>4.402124999999999</v>
      </c>
      <c r="R273" s="1">
        <f t="shared" si="118"/>
        <v>2335.9602167651597</v>
      </c>
      <c r="S273" s="1">
        <f t="shared" si="119"/>
        <v>7.336874999999998</v>
      </c>
      <c r="T273" s="60">
        <f t="shared" si="128"/>
        <v>8.804249999999998</v>
      </c>
      <c r="U273" s="101">
        <f t="shared" si="120"/>
        <v>21459.581151832463</v>
      </c>
      <c r="V273" s="102">
        <f t="shared" si="129"/>
        <v>8199.20436963351</v>
      </c>
      <c r="W273" s="102">
        <f t="shared" si="121"/>
        <v>17022.6</v>
      </c>
      <c r="X273" s="102">
        <f t="shared" si="122"/>
        <v>-11366.74</v>
      </c>
      <c r="Y273" s="103">
        <f t="shared" si="130"/>
        <v>0</v>
      </c>
      <c r="AB273" s="76"/>
      <c r="AC273" s="76"/>
      <c r="AD273" s="76"/>
      <c r="AE273" s="77"/>
      <c r="AF273" s="78"/>
      <c r="AG273" s="24"/>
      <c r="AH273" s="53"/>
      <c r="AI273" s="53"/>
      <c r="AJ273" s="53"/>
      <c r="AK273" s="53"/>
      <c r="AL273" s="53"/>
      <c r="AM273" s="1"/>
      <c r="AN273" s="1"/>
    </row>
    <row r="274" spans="2:40" ht="12.75">
      <c r="B274" s="122">
        <f t="shared" si="125"/>
        <v>39225.09696808437</v>
      </c>
      <c r="C274">
        <v>0</v>
      </c>
      <c r="D274" s="2">
        <v>0</v>
      </c>
      <c r="E274">
        <v>0.6</v>
      </c>
      <c r="F274">
        <f t="shared" si="112"/>
        <v>148.09999999999928</v>
      </c>
      <c r="G274" s="1">
        <f t="shared" si="126"/>
        <v>831.1776000000003</v>
      </c>
      <c r="H274" s="1">
        <f t="shared" si="131"/>
        <v>0</v>
      </c>
      <c r="I274">
        <v>60</v>
      </c>
      <c r="J274" s="64">
        <f t="shared" si="113"/>
        <v>60.000000000000014</v>
      </c>
      <c r="K274" s="117">
        <f t="shared" si="132"/>
        <v>0.00041666666666666653</v>
      </c>
      <c r="L274" s="1">
        <f t="shared" si="114"/>
        <v>46681.38552146597</v>
      </c>
      <c r="M274" s="1">
        <f t="shared" si="127"/>
        <v>9093.77640028558</v>
      </c>
      <c r="N274" s="1">
        <f t="shared" si="123"/>
        <v>21000</v>
      </c>
      <c r="O274" s="74">
        <f t="shared" si="115"/>
        <v>0.43303697144217046</v>
      </c>
      <c r="P274" s="84">
        <f t="shared" si="116"/>
        <v>4</v>
      </c>
      <c r="Q274" s="1">
        <f t="shared" si="117"/>
        <v>5.869499999999999</v>
      </c>
      <c r="R274" s="1">
        <f t="shared" si="118"/>
        <v>2341.8297167651594</v>
      </c>
      <c r="S274" s="1">
        <f t="shared" si="119"/>
        <v>9.782499999999999</v>
      </c>
      <c r="T274" s="60">
        <f t="shared" si="128"/>
        <v>11.738999999999997</v>
      </c>
      <c r="U274" s="101">
        <f t="shared" si="120"/>
        <v>21459.581151832463</v>
      </c>
      <c r="V274" s="102">
        <f t="shared" si="129"/>
        <v>8199.20436963351</v>
      </c>
      <c r="W274" s="102">
        <f t="shared" si="121"/>
        <v>17022.6</v>
      </c>
      <c r="X274" s="102">
        <f t="shared" si="122"/>
        <v>0</v>
      </c>
      <c r="Y274" s="103">
        <f t="shared" si="130"/>
        <v>0</v>
      </c>
      <c r="AB274" s="76"/>
      <c r="AC274" s="76"/>
      <c r="AD274" s="76"/>
      <c r="AE274" s="77"/>
      <c r="AF274" s="78"/>
      <c r="AG274" s="24"/>
      <c r="AH274" s="53"/>
      <c r="AI274" s="53"/>
      <c r="AJ274" s="53"/>
      <c r="AK274" s="53"/>
      <c r="AL274" s="53"/>
      <c r="AM274" s="1"/>
      <c r="AN274" s="1"/>
    </row>
    <row r="275" spans="2:40" ht="12.75">
      <c r="B275" s="122">
        <f t="shared" si="125"/>
        <v>39225.09738475104</v>
      </c>
      <c r="C275">
        <v>2</v>
      </c>
      <c r="D275" s="2">
        <v>0</v>
      </c>
      <c r="E275">
        <v>0.6</v>
      </c>
      <c r="F275">
        <f t="shared" si="112"/>
        <v>148.69999999999928</v>
      </c>
      <c r="G275" s="1">
        <f t="shared" si="126"/>
        <v>831.1776000000003</v>
      </c>
      <c r="H275" s="1">
        <f t="shared" si="131"/>
        <v>0</v>
      </c>
      <c r="I275">
        <v>60</v>
      </c>
      <c r="J275" s="64">
        <f t="shared" si="113"/>
        <v>60</v>
      </c>
      <c r="K275" s="117">
        <f t="shared" si="132"/>
        <v>0.0004166666666666667</v>
      </c>
      <c r="L275" s="1">
        <f t="shared" si="114"/>
        <v>78434.45512146597</v>
      </c>
      <c r="M275" s="1">
        <f t="shared" si="127"/>
        <v>15279.439309376488</v>
      </c>
      <c r="N275" s="1">
        <f t="shared" si="123"/>
        <v>21000</v>
      </c>
      <c r="O275" s="74">
        <f t="shared" si="115"/>
        <v>0.7275923480655471</v>
      </c>
      <c r="P275" s="84">
        <f t="shared" si="116"/>
        <v>6</v>
      </c>
      <c r="Q275" s="1">
        <f t="shared" si="117"/>
        <v>8.80425</v>
      </c>
      <c r="R275" s="1">
        <f t="shared" si="118"/>
        <v>2350.6339667651596</v>
      </c>
      <c r="S275" s="1">
        <f t="shared" si="119"/>
        <v>14.67375</v>
      </c>
      <c r="T275" s="60">
        <f t="shared" si="128"/>
        <v>17.6085</v>
      </c>
      <c r="U275" s="101">
        <f t="shared" si="120"/>
        <v>21459.581151832463</v>
      </c>
      <c r="V275" s="102">
        <f t="shared" si="129"/>
        <v>8199.20436963351</v>
      </c>
      <c r="W275" s="102">
        <f t="shared" si="121"/>
        <v>17022.6</v>
      </c>
      <c r="X275" s="102">
        <f t="shared" si="122"/>
        <v>0</v>
      </c>
      <c r="Y275" s="103">
        <f t="shared" si="130"/>
        <v>31753.0696</v>
      </c>
      <c r="AB275" s="76"/>
      <c r="AC275" s="76"/>
      <c r="AD275" s="76"/>
      <c r="AE275" s="77"/>
      <c r="AF275" s="78"/>
      <c r="AG275" s="24"/>
      <c r="AH275" s="53"/>
      <c r="AI275" s="53"/>
      <c r="AJ275" s="53"/>
      <c r="AK275" s="53"/>
      <c r="AL275" s="53"/>
      <c r="AM275" s="1"/>
      <c r="AN275" s="1"/>
    </row>
    <row r="276" spans="2:40" ht="12.75">
      <c r="B276" s="122">
        <f t="shared" si="125"/>
        <v>39225.09780141771</v>
      </c>
      <c r="C276">
        <v>0</v>
      </c>
      <c r="D276" s="2">
        <v>0</v>
      </c>
      <c r="E276">
        <v>0.6</v>
      </c>
      <c r="F276">
        <f t="shared" si="112"/>
        <v>149.29999999999927</v>
      </c>
      <c r="G276" s="1">
        <f t="shared" si="126"/>
        <v>831.1776000000003</v>
      </c>
      <c r="H276" s="1">
        <f t="shared" si="131"/>
        <v>0</v>
      </c>
      <c r="I276">
        <v>60</v>
      </c>
      <c r="J276" s="64">
        <f t="shared" si="113"/>
        <v>60</v>
      </c>
      <c r="K276" s="117">
        <f t="shared" si="132"/>
        <v>0.0004166666666666667</v>
      </c>
      <c r="L276" s="1">
        <f t="shared" si="114"/>
        <v>78433.38552146597</v>
      </c>
      <c r="M276" s="1">
        <f t="shared" si="127"/>
        <v>15279.230945740124</v>
      </c>
      <c r="N276" s="1">
        <f t="shared" si="123"/>
        <v>21000</v>
      </c>
      <c r="O276" s="74">
        <f t="shared" si="115"/>
        <v>0.727582425987625</v>
      </c>
      <c r="P276" s="84">
        <f t="shared" si="116"/>
        <v>6</v>
      </c>
      <c r="Q276" s="1">
        <f t="shared" si="117"/>
        <v>8.80425</v>
      </c>
      <c r="R276" s="1">
        <f t="shared" si="118"/>
        <v>2359.4382167651597</v>
      </c>
      <c r="S276" s="1">
        <f t="shared" si="119"/>
        <v>14.67375</v>
      </c>
      <c r="T276" s="60">
        <f t="shared" si="128"/>
        <v>17.6085</v>
      </c>
      <c r="U276" s="101">
        <f t="shared" si="120"/>
        <v>21459.581151832463</v>
      </c>
      <c r="V276" s="102">
        <f t="shared" si="129"/>
        <v>8199.20436963351</v>
      </c>
      <c r="W276" s="102">
        <f t="shared" si="121"/>
        <v>17022.6</v>
      </c>
      <c r="X276" s="102">
        <f t="shared" si="122"/>
        <v>0</v>
      </c>
      <c r="Y276" s="103">
        <f t="shared" si="130"/>
        <v>31752</v>
      </c>
      <c r="AB276" s="76"/>
      <c r="AC276" s="76"/>
      <c r="AD276" s="76"/>
      <c r="AE276" s="77"/>
      <c r="AF276" s="78"/>
      <c r="AG276" s="24"/>
      <c r="AH276" s="53"/>
      <c r="AI276" s="53"/>
      <c r="AJ276" s="53"/>
      <c r="AK276" s="53"/>
      <c r="AL276" s="53"/>
      <c r="AM276" s="1"/>
      <c r="AN276" s="1"/>
    </row>
    <row r="277" spans="2:40" ht="12.75">
      <c r="B277" s="122">
        <f t="shared" si="125"/>
        <v>39225.09821808438</v>
      </c>
      <c r="C277">
        <v>0</v>
      </c>
      <c r="D277" s="2">
        <v>0</v>
      </c>
      <c r="E277">
        <v>0.6</v>
      </c>
      <c r="F277">
        <f t="shared" si="112"/>
        <v>149.89999999999927</v>
      </c>
      <c r="G277" s="1">
        <f t="shared" si="126"/>
        <v>831.1776000000003</v>
      </c>
      <c r="H277" s="1">
        <f t="shared" si="131"/>
        <v>0</v>
      </c>
      <c r="I277">
        <v>60</v>
      </c>
      <c r="J277" s="64">
        <f t="shared" si="113"/>
        <v>60.000000000000014</v>
      </c>
      <c r="K277" s="117">
        <f t="shared" si="132"/>
        <v>0.00041666666666666653</v>
      </c>
      <c r="L277" s="1">
        <f t="shared" si="114"/>
        <v>46681.38552146597</v>
      </c>
      <c r="M277" s="1">
        <f t="shared" si="127"/>
        <v>9093.77640028558</v>
      </c>
      <c r="N277" s="1">
        <f t="shared" si="123"/>
        <v>21000</v>
      </c>
      <c r="O277" s="74">
        <f t="shared" si="115"/>
        <v>0.43303697144217046</v>
      </c>
      <c r="P277" s="84">
        <f t="shared" si="116"/>
        <v>4</v>
      </c>
      <c r="Q277" s="1">
        <f t="shared" si="117"/>
        <v>5.869499999999999</v>
      </c>
      <c r="R277" s="1">
        <f t="shared" si="118"/>
        <v>2365.3077167651595</v>
      </c>
      <c r="S277" s="1">
        <f t="shared" si="119"/>
        <v>9.782499999999999</v>
      </c>
      <c r="T277" s="60">
        <f t="shared" si="128"/>
        <v>11.738999999999997</v>
      </c>
      <c r="U277" s="101">
        <f t="shared" si="120"/>
        <v>21459.581151832463</v>
      </c>
      <c r="V277" s="102">
        <f t="shared" si="129"/>
        <v>8199.20436963351</v>
      </c>
      <c r="W277" s="102">
        <f t="shared" si="121"/>
        <v>17022.6</v>
      </c>
      <c r="X277" s="102">
        <f t="shared" si="122"/>
        <v>0</v>
      </c>
      <c r="Y277" s="103">
        <f t="shared" si="130"/>
        <v>0</v>
      </c>
      <c r="AB277" s="76"/>
      <c r="AC277" s="76"/>
      <c r="AD277" s="76"/>
      <c r="AE277" s="77"/>
      <c r="AF277" s="78"/>
      <c r="AG277" s="24"/>
      <c r="AH277" s="53"/>
      <c r="AI277" s="53"/>
      <c r="AJ277" s="53"/>
      <c r="AK277" s="53"/>
      <c r="AL277" s="53"/>
      <c r="AM277" s="1"/>
      <c r="AN277" s="1"/>
    </row>
    <row r="278" spans="2:40" ht="12.75">
      <c r="B278" s="122">
        <f t="shared" si="125"/>
        <v>39225.09863475105</v>
      </c>
      <c r="C278">
        <v>0</v>
      </c>
      <c r="D278" s="2">
        <v>0</v>
      </c>
      <c r="E278">
        <v>0.6</v>
      </c>
      <c r="F278">
        <f t="shared" si="112"/>
        <v>150.49999999999926</v>
      </c>
      <c r="G278" s="1">
        <f t="shared" si="126"/>
        <v>831.1776000000003</v>
      </c>
      <c r="H278" s="1">
        <f t="shared" si="131"/>
        <v>0</v>
      </c>
      <c r="I278">
        <v>60</v>
      </c>
      <c r="J278" s="64">
        <f t="shared" si="113"/>
        <v>60.000000000000014</v>
      </c>
      <c r="K278" s="117">
        <f t="shared" si="132"/>
        <v>0.00041666666666666653</v>
      </c>
      <c r="L278" s="1">
        <f t="shared" si="114"/>
        <v>46681.38552146597</v>
      </c>
      <c r="M278" s="1">
        <f t="shared" si="127"/>
        <v>9093.77640028558</v>
      </c>
      <c r="N278" s="1">
        <f t="shared" si="123"/>
        <v>21000</v>
      </c>
      <c r="O278" s="74">
        <f t="shared" si="115"/>
        <v>0.43303697144217046</v>
      </c>
      <c r="P278" s="84">
        <f t="shared" si="116"/>
        <v>4</v>
      </c>
      <c r="Q278" s="1">
        <f t="shared" si="117"/>
        <v>5.869499999999999</v>
      </c>
      <c r="R278" s="1">
        <f t="shared" si="118"/>
        <v>2371.1772167651593</v>
      </c>
      <c r="S278" s="1">
        <f t="shared" si="119"/>
        <v>9.782499999999999</v>
      </c>
      <c r="T278" s="60">
        <f t="shared" si="128"/>
        <v>11.738999999999997</v>
      </c>
      <c r="U278" s="101">
        <f t="shared" si="120"/>
        <v>21459.581151832463</v>
      </c>
      <c r="V278" s="102">
        <f t="shared" si="129"/>
        <v>8199.20436963351</v>
      </c>
      <c r="W278" s="102">
        <f t="shared" si="121"/>
        <v>17022.6</v>
      </c>
      <c r="X278" s="102">
        <f t="shared" si="122"/>
        <v>0</v>
      </c>
      <c r="Y278" s="103">
        <f t="shared" si="130"/>
        <v>0</v>
      </c>
      <c r="AB278" s="76"/>
      <c r="AC278" s="76"/>
      <c r="AD278" s="76"/>
      <c r="AE278" s="77"/>
      <c r="AF278" s="78"/>
      <c r="AG278" s="24"/>
      <c r="AH278" s="53"/>
      <c r="AI278" s="53"/>
      <c r="AJ278" s="53"/>
      <c r="AK278" s="53"/>
      <c r="AL278" s="53"/>
      <c r="AM278" s="1"/>
      <c r="AN278" s="1"/>
    </row>
    <row r="279" spans="2:40" ht="12.75">
      <c r="B279" s="122">
        <f t="shared" si="125"/>
        <v>39225.09905141772</v>
      </c>
      <c r="C279">
        <v>0</v>
      </c>
      <c r="D279" s="2">
        <v>0</v>
      </c>
      <c r="E279">
        <v>0.6</v>
      </c>
      <c r="F279">
        <f t="shared" si="112"/>
        <v>151.09999999999926</v>
      </c>
      <c r="G279" s="1">
        <f t="shared" si="126"/>
        <v>831.1776000000003</v>
      </c>
      <c r="H279" s="1">
        <f t="shared" si="131"/>
        <v>0</v>
      </c>
      <c r="I279">
        <v>60</v>
      </c>
      <c r="J279" s="64">
        <f t="shared" si="113"/>
        <v>60.000000000000014</v>
      </c>
      <c r="K279" s="117">
        <f t="shared" si="132"/>
        <v>0.00041666666666666653</v>
      </c>
      <c r="L279" s="1">
        <f t="shared" si="114"/>
        <v>46681.38552146597</v>
      </c>
      <c r="M279" s="1">
        <f t="shared" si="127"/>
        <v>9093.77640028558</v>
      </c>
      <c r="N279" s="1">
        <f t="shared" si="123"/>
        <v>21000</v>
      </c>
      <c r="O279" s="74">
        <f t="shared" si="115"/>
        <v>0.43303697144217046</v>
      </c>
      <c r="P279" s="84">
        <f t="shared" si="116"/>
        <v>4</v>
      </c>
      <c r="Q279" s="1">
        <f t="shared" si="117"/>
        <v>5.869499999999999</v>
      </c>
      <c r="R279" s="1">
        <f t="shared" si="118"/>
        <v>2377.046716765159</v>
      </c>
      <c r="S279" s="1">
        <f t="shared" si="119"/>
        <v>9.782499999999999</v>
      </c>
      <c r="T279" s="60">
        <f t="shared" si="128"/>
        <v>11.738999999999997</v>
      </c>
      <c r="U279" s="101">
        <f t="shared" si="120"/>
        <v>21459.581151832463</v>
      </c>
      <c r="V279" s="102">
        <f t="shared" si="129"/>
        <v>8199.20436963351</v>
      </c>
      <c r="W279" s="102">
        <f t="shared" si="121"/>
        <v>17022.6</v>
      </c>
      <c r="X279" s="102">
        <f t="shared" si="122"/>
        <v>0</v>
      </c>
      <c r="Y279" s="103">
        <f t="shared" si="130"/>
        <v>0</v>
      </c>
      <c r="AB279" s="76"/>
      <c r="AC279" s="76"/>
      <c r="AD279" s="76"/>
      <c r="AE279" s="77"/>
      <c r="AF279" s="78"/>
      <c r="AG279" s="24"/>
      <c r="AH279" s="53"/>
      <c r="AI279" s="53"/>
      <c r="AJ279" s="53"/>
      <c r="AK279" s="53"/>
      <c r="AL279" s="53"/>
      <c r="AM279" s="1"/>
      <c r="AN279" s="1"/>
    </row>
    <row r="280" spans="2:40" ht="12.75">
      <c r="B280" s="122">
        <f t="shared" si="125"/>
        <v>39225.09946808439</v>
      </c>
      <c r="C280">
        <v>0</v>
      </c>
      <c r="D280" s="2">
        <v>-0.004</v>
      </c>
      <c r="E280">
        <v>0.6</v>
      </c>
      <c r="F280">
        <f t="shared" si="112"/>
        <v>151.69999999999925</v>
      </c>
      <c r="G280" s="1">
        <f t="shared" si="126"/>
        <v>818.5056000000003</v>
      </c>
      <c r="H280" s="1">
        <f t="shared" si="131"/>
        <v>0</v>
      </c>
      <c r="I280">
        <v>60</v>
      </c>
      <c r="J280" s="64">
        <f t="shared" si="113"/>
        <v>60</v>
      </c>
      <c r="K280" s="117">
        <f t="shared" si="132"/>
        <v>0.0004166666666666667</v>
      </c>
      <c r="L280" s="1">
        <f t="shared" si="114"/>
        <v>1214.4255214659715</v>
      </c>
      <c r="M280" s="1">
        <f t="shared" si="127"/>
        <v>236.57640028557887</v>
      </c>
      <c r="N280" s="1">
        <f t="shared" si="123"/>
        <v>21000</v>
      </c>
      <c r="O280" s="74">
        <f t="shared" si="115"/>
        <v>0.011265542870741852</v>
      </c>
      <c r="P280" s="84">
        <f t="shared" si="116"/>
        <v>1</v>
      </c>
      <c r="Q280" s="1">
        <f t="shared" si="117"/>
        <v>1.467375</v>
      </c>
      <c r="R280" s="1">
        <f t="shared" si="118"/>
        <v>2378.5140917651593</v>
      </c>
      <c r="S280" s="1">
        <f t="shared" si="119"/>
        <v>2.445625</v>
      </c>
      <c r="T280" s="60">
        <f t="shared" si="128"/>
        <v>2.93475</v>
      </c>
      <c r="U280" s="101">
        <f t="shared" si="120"/>
        <v>21459.581151832463</v>
      </c>
      <c r="V280" s="102">
        <f t="shared" si="129"/>
        <v>8199.20436963351</v>
      </c>
      <c r="W280" s="102">
        <f t="shared" si="121"/>
        <v>17022.6</v>
      </c>
      <c r="X280" s="102">
        <f t="shared" si="122"/>
        <v>-45466.96</v>
      </c>
      <c r="Y280" s="103">
        <f t="shared" si="130"/>
        <v>0</v>
      </c>
      <c r="AB280" s="76"/>
      <c r="AC280" s="76"/>
      <c r="AD280" s="76"/>
      <c r="AE280" s="77"/>
      <c r="AF280" s="78"/>
      <c r="AG280" s="24"/>
      <c r="AH280" s="53"/>
      <c r="AI280" s="53"/>
      <c r="AJ280" s="53"/>
      <c r="AK280" s="53"/>
      <c r="AL280" s="53"/>
      <c r="AM280" s="1"/>
      <c r="AN280" s="1"/>
    </row>
    <row r="281" spans="2:40" ht="12.75">
      <c r="B281" s="122">
        <f t="shared" si="125"/>
        <v>39225.09988475106</v>
      </c>
      <c r="C281">
        <v>0</v>
      </c>
      <c r="D281" s="2">
        <v>-0.003</v>
      </c>
      <c r="E281">
        <v>0.6</v>
      </c>
      <c r="F281">
        <f t="shared" si="112"/>
        <v>152.29999999999924</v>
      </c>
      <c r="G281" s="1">
        <f t="shared" si="126"/>
        <v>809.0016000000003</v>
      </c>
      <c r="H281" s="1">
        <f t="shared" si="131"/>
        <v>0</v>
      </c>
      <c r="I281">
        <v>60</v>
      </c>
      <c r="J281" s="64">
        <f t="shared" si="113"/>
        <v>59.99999999999999</v>
      </c>
      <c r="K281" s="117">
        <f t="shared" si="132"/>
        <v>0.0004166666666666667</v>
      </c>
      <c r="L281" s="1">
        <f t="shared" si="114"/>
        <v>12581.16552146597</v>
      </c>
      <c r="M281" s="1">
        <f t="shared" si="127"/>
        <v>2450.8764002855783</v>
      </c>
      <c r="N281" s="1">
        <f t="shared" si="123"/>
        <v>21000</v>
      </c>
      <c r="O281" s="74">
        <f t="shared" si="115"/>
        <v>0.11670840001359896</v>
      </c>
      <c r="P281" s="84">
        <f t="shared" si="116"/>
        <v>1</v>
      </c>
      <c r="Q281" s="1">
        <f t="shared" si="117"/>
        <v>1.467375</v>
      </c>
      <c r="R281" s="1">
        <f t="shared" si="118"/>
        <v>2379.9814667651594</v>
      </c>
      <c r="S281" s="1">
        <f t="shared" si="119"/>
        <v>2.445625</v>
      </c>
      <c r="T281" s="60">
        <f t="shared" si="128"/>
        <v>2.93475</v>
      </c>
      <c r="U281" s="101">
        <f t="shared" si="120"/>
        <v>21459.581151832463</v>
      </c>
      <c r="V281" s="102">
        <f t="shared" si="129"/>
        <v>8199.20436963351</v>
      </c>
      <c r="W281" s="102">
        <f t="shared" si="121"/>
        <v>17022.6</v>
      </c>
      <c r="X281" s="102">
        <f t="shared" si="122"/>
        <v>-34100.22</v>
      </c>
      <c r="Y281" s="103">
        <f t="shared" si="130"/>
        <v>0</v>
      </c>
      <c r="AB281" s="76"/>
      <c r="AC281" s="76"/>
      <c r="AD281" s="76"/>
      <c r="AE281" s="77"/>
      <c r="AF281" s="78"/>
      <c r="AG281" s="24"/>
      <c r="AH281" s="53"/>
      <c r="AI281" s="53"/>
      <c r="AJ281" s="53"/>
      <c r="AK281" s="53"/>
      <c r="AL281" s="53"/>
      <c r="AM281" s="1"/>
      <c r="AN281" s="1"/>
    </row>
    <row r="282" spans="2:40" ht="12.75">
      <c r="B282" s="122">
        <f t="shared" si="125"/>
        <v>39225.100301417726</v>
      </c>
      <c r="C282">
        <v>0</v>
      </c>
      <c r="D282" s="2">
        <v>-0.003</v>
      </c>
      <c r="E282">
        <v>0.6</v>
      </c>
      <c r="F282">
        <f t="shared" si="112"/>
        <v>152.89999999999924</v>
      </c>
      <c r="G282" s="1">
        <f t="shared" si="126"/>
        <v>799.4976000000003</v>
      </c>
      <c r="H282" s="1">
        <f t="shared" si="131"/>
        <v>0</v>
      </c>
      <c r="I282">
        <v>60</v>
      </c>
      <c r="J282" s="64">
        <f t="shared" si="113"/>
        <v>59.99999999999999</v>
      </c>
      <c r="K282" s="117">
        <f t="shared" si="132"/>
        <v>0.0004166666666666667</v>
      </c>
      <c r="L282" s="1">
        <f t="shared" si="114"/>
        <v>12581.16552146597</v>
      </c>
      <c r="M282" s="1">
        <f t="shared" si="127"/>
        <v>2450.8764002855783</v>
      </c>
      <c r="N282" s="1">
        <f t="shared" si="123"/>
        <v>21000</v>
      </c>
      <c r="O282" s="74">
        <f t="shared" si="115"/>
        <v>0.11670840001359896</v>
      </c>
      <c r="P282" s="84">
        <f t="shared" si="116"/>
        <v>1</v>
      </c>
      <c r="Q282" s="1">
        <f t="shared" si="117"/>
        <v>1.467375</v>
      </c>
      <c r="R282" s="1">
        <f t="shared" si="118"/>
        <v>2381.4488417651596</v>
      </c>
      <c r="S282" s="1">
        <f t="shared" si="119"/>
        <v>2.445625</v>
      </c>
      <c r="T282" s="60">
        <f t="shared" si="128"/>
        <v>2.93475</v>
      </c>
      <c r="U282" s="101">
        <f t="shared" si="120"/>
        <v>21459.581151832463</v>
      </c>
      <c r="V282" s="102">
        <f t="shared" si="129"/>
        <v>8199.20436963351</v>
      </c>
      <c r="W282" s="102">
        <f t="shared" si="121"/>
        <v>17022.6</v>
      </c>
      <c r="X282" s="102">
        <f t="shared" si="122"/>
        <v>-34100.22</v>
      </c>
      <c r="Y282" s="103">
        <f t="shared" si="130"/>
        <v>0</v>
      </c>
      <c r="AB282" s="76"/>
      <c r="AC282" s="76"/>
      <c r="AD282" s="76"/>
      <c r="AE282" s="77"/>
      <c r="AF282" s="78"/>
      <c r="AG282" s="24"/>
      <c r="AH282" s="53"/>
      <c r="AI282" s="53"/>
      <c r="AJ282" s="53"/>
      <c r="AK282" s="53"/>
      <c r="AL282" s="53"/>
      <c r="AM282" s="1"/>
      <c r="AN282" s="1"/>
    </row>
    <row r="283" spans="2:40" ht="12.75">
      <c r="B283" s="122">
        <f t="shared" si="125"/>
        <v>39225.100718084395</v>
      </c>
      <c r="C283">
        <v>2</v>
      </c>
      <c r="D283" s="2">
        <v>0</v>
      </c>
      <c r="E283">
        <v>0.6</v>
      </c>
      <c r="F283">
        <f t="shared" si="112"/>
        <v>153.49999999999923</v>
      </c>
      <c r="G283" s="1">
        <f t="shared" si="126"/>
        <v>799.4976000000003</v>
      </c>
      <c r="H283" s="1">
        <f t="shared" si="131"/>
        <v>0</v>
      </c>
      <c r="I283">
        <v>60</v>
      </c>
      <c r="J283" s="64">
        <f t="shared" si="113"/>
        <v>60</v>
      </c>
      <c r="K283" s="117">
        <f t="shared" si="132"/>
        <v>0.0004166666666666667</v>
      </c>
      <c r="L283" s="1">
        <f t="shared" si="114"/>
        <v>78434.45512146597</v>
      </c>
      <c r="M283" s="1">
        <f t="shared" si="127"/>
        <v>15279.439309376488</v>
      </c>
      <c r="N283" s="1">
        <f t="shared" si="123"/>
        <v>21000</v>
      </c>
      <c r="O283" s="74">
        <f t="shared" si="115"/>
        <v>0.7275923480655471</v>
      </c>
      <c r="P283" s="84">
        <f t="shared" si="116"/>
        <v>6</v>
      </c>
      <c r="Q283" s="1">
        <f t="shared" si="117"/>
        <v>8.80425</v>
      </c>
      <c r="R283" s="1">
        <f t="shared" si="118"/>
        <v>2390.2530917651598</v>
      </c>
      <c r="S283" s="1">
        <f t="shared" si="119"/>
        <v>14.67375</v>
      </c>
      <c r="T283" s="60">
        <f t="shared" si="128"/>
        <v>17.6085</v>
      </c>
      <c r="U283" s="101">
        <f t="shared" si="120"/>
        <v>21459.581151832463</v>
      </c>
      <c r="V283" s="102">
        <f t="shared" si="129"/>
        <v>8199.20436963351</v>
      </c>
      <c r="W283" s="102">
        <f t="shared" si="121"/>
        <v>17022.6</v>
      </c>
      <c r="X283" s="102">
        <f t="shared" si="122"/>
        <v>0</v>
      </c>
      <c r="Y283" s="103">
        <f t="shared" si="130"/>
        <v>31753.0696</v>
      </c>
      <c r="AB283" s="76"/>
      <c r="AC283" s="76"/>
      <c r="AD283" s="76"/>
      <c r="AE283" s="77"/>
      <c r="AF283" s="78"/>
      <c r="AG283" s="24"/>
      <c r="AH283" s="53"/>
      <c r="AI283" s="53"/>
      <c r="AJ283" s="53"/>
      <c r="AK283" s="53"/>
      <c r="AL283" s="53"/>
      <c r="AM283" s="1"/>
      <c r="AN283" s="1"/>
    </row>
    <row r="284" spans="2:40" ht="12.75">
      <c r="B284" s="122">
        <f t="shared" si="125"/>
        <v>39225.1012180844</v>
      </c>
      <c r="C284">
        <v>2</v>
      </c>
      <c r="D284" s="2">
        <v>0</v>
      </c>
      <c r="E284">
        <v>0.6</v>
      </c>
      <c r="F284">
        <f t="shared" si="112"/>
        <v>154.09999999999923</v>
      </c>
      <c r="G284" s="1">
        <f t="shared" si="126"/>
        <v>799.4976000000003</v>
      </c>
      <c r="H284" s="1">
        <f t="shared" si="131"/>
        <v>0</v>
      </c>
      <c r="I284">
        <v>50</v>
      </c>
      <c r="J284" s="64">
        <f t="shared" si="113"/>
        <v>50</v>
      </c>
      <c r="K284" s="117">
        <f t="shared" si="132"/>
        <v>0.0005</v>
      </c>
      <c r="L284" s="1">
        <f t="shared" si="114"/>
        <v>100792.26088062828</v>
      </c>
      <c r="M284" s="1">
        <f t="shared" si="127"/>
        <v>16362.380013089007</v>
      </c>
      <c r="N284" s="1">
        <f t="shared" si="123"/>
        <v>21000</v>
      </c>
      <c r="O284" s="74">
        <f t="shared" si="115"/>
        <v>0.7791609530042384</v>
      </c>
      <c r="P284" s="84">
        <f t="shared" si="116"/>
        <v>6</v>
      </c>
      <c r="Q284" s="1">
        <f t="shared" si="117"/>
        <v>10.5651</v>
      </c>
      <c r="R284" s="1">
        <f t="shared" si="118"/>
        <v>2400.8181917651596</v>
      </c>
      <c r="S284" s="1">
        <f t="shared" si="119"/>
        <v>17.6085</v>
      </c>
      <c r="T284" s="60">
        <f t="shared" si="128"/>
        <v>21.1302</v>
      </c>
      <c r="U284" s="101">
        <f t="shared" si="120"/>
        <v>14902.486910994765</v>
      </c>
      <c r="V284" s="102">
        <f t="shared" si="129"/>
        <v>8199.20436963351</v>
      </c>
      <c r="W284" s="102">
        <f t="shared" si="121"/>
        <v>14185.5</v>
      </c>
      <c r="X284" s="102">
        <f t="shared" si="122"/>
        <v>0</v>
      </c>
      <c r="Y284" s="103">
        <f t="shared" si="130"/>
        <v>63505.0696</v>
      </c>
      <c r="AB284" s="76"/>
      <c r="AC284" s="76"/>
      <c r="AD284" s="76"/>
      <c r="AE284" s="77"/>
      <c r="AF284" s="78"/>
      <c r="AG284" s="24"/>
      <c r="AH284" s="53"/>
      <c r="AI284" s="53"/>
      <c r="AJ284" s="53"/>
      <c r="AK284" s="53"/>
      <c r="AL284" s="53"/>
      <c r="AM284" s="1"/>
      <c r="AN284" s="1"/>
    </row>
    <row r="285" spans="2:40" ht="12.75">
      <c r="B285" s="122">
        <f t="shared" si="125"/>
        <v>39225.10163475107</v>
      </c>
      <c r="C285">
        <v>0</v>
      </c>
      <c r="D285" s="2">
        <v>0</v>
      </c>
      <c r="E285">
        <v>0.6</v>
      </c>
      <c r="F285">
        <f t="shared" si="112"/>
        <v>154.69999999999922</v>
      </c>
      <c r="G285" s="1">
        <f t="shared" si="126"/>
        <v>799.4976000000003</v>
      </c>
      <c r="H285" s="1">
        <f t="shared" si="131"/>
        <v>0</v>
      </c>
      <c r="I285">
        <v>60</v>
      </c>
      <c r="J285" s="64">
        <f t="shared" si="113"/>
        <v>60</v>
      </c>
      <c r="K285" s="117">
        <f t="shared" si="132"/>
        <v>0.0004166666666666667</v>
      </c>
      <c r="L285" s="1">
        <f t="shared" si="114"/>
        <v>78433.38552146597</v>
      </c>
      <c r="M285" s="1">
        <f t="shared" si="127"/>
        <v>15279.230945740124</v>
      </c>
      <c r="N285" s="1">
        <f t="shared" si="123"/>
        <v>21000</v>
      </c>
      <c r="O285" s="74">
        <f t="shared" si="115"/>
        <v>0.727582425987625</v>
      </c>
      <c r="P285" s="84">
        <f t="shared" si="116"/>
        <v>6</v>
      </c>
      <c r="Q285" s="1">
        <f t="shared" si="117"/>
        <v>8.80425</v>
      </c>
      <c r="R285" s="1">
        <f t="shared" si="118"/>
        <v>2409.6224417651597</v>
      </c>
      <c r="S285" s="1">
        <f t="shared" si="119"/>
        <v>14.67375</v>
      </c>
      <c r="T285" s="60">
        <f t="shared" si="128"/>
        <v>17.6085</v>
      </c>
      <c r="U285" s="101">
        <f t="shared" si="120"/>
        <v>21459.581151832463</v>
      </c>
      <c r="V285" s="102">
        <f t="shared" si="129"/>
        <v>8199.20436963351</v>
      </c>
      <c r="W285" s="102">
        <f t="shared" si="121"/>
        <v>17022.6</v>
      </c>
      <c r="X285" s="102">
        <f t="shared" si="122"/>
        <v>0</v>
      </c>
      <c r="Y285" s="103">
        <f t="shared" si="130"/>
        <v>31752</v>
      </c>
      <c r="AB285" s="76"/>
      <c r="AC285" s="76"/>
      <c r="AD285" s="76"/>
      <c r="AE285" s="77"/>
      <c r="AF285" s="78"/>
      <c r="AG285" s="24"/>
      <c r="AH285" s="53"/>
      <c r="AI285" s="53"/>
      <c r="AJ285" s="53"/>
      <c r="AK285" s="53"/>
      <c r="AL285" s="53"/>
      <c r="AM285" s="1"/>
      <c r="AN285" s="1"/>
    </row>
    <row r="286" spans="2:40" ht="12.75">
      <c r="B286" s="122">
        <f t="shared" si="125"/>
        <v>39225.102051417736</v>
      </c>
      <c r="C286">
        <v>0</v>
      </c>
      <c r="D286" s="2">
        <v>0</v>
      </c>
      <c r="E286">
        <v>0.6</v>
      </c>
      <c r="F286">
        <f t="shared" si="112"/>
        <v>155.29999999999922</v>
      </c>
      <c r="G286" s="1">
        <f t="shared" si="126"/>
        <v>799.4976000000003</v>
      </c>
      <c r="H286" s="1">
        <f t="shared" si="131"/>
        <v>0</v>
      </c>
      <c r="I286">
        <v>60</v>
      </c>
      <c r="J286" s="64">
        <f t="shared" si="113"/>
        <v>60.000000000000014</v>
      </c>
      <c r="K286" s="117">
        <f t="shared" si="132"/>
        <v>0.00041666666666666653</v>
      </c>
      <c r="L286" s="1">
        <f t="shared" si="114"/>
        <v>46681.38552146597</v>
      </c>
      <c r="M286" s="1">
        <f t="shared" si="127"/>
        <v>9093.77640028558</v>
      </c>
      <c r="N286" s="1">
        <f t="shared" si="123"/>
        <v>21000</v>
      </c>
      <c r="O286" s="74">
        <f t="shared" si="115"/>
        <v>0.43303697144217046</v>
      </c>
      <c r="P286" s="84">
        <f t="shared" si="116"/>
        <v>4</v>
      </c>
      <c r="Q286" s="1">
        <f t="shared" si="117"/>
        <v>5.869499999999999</v>
      </c>
      <c r="R286" s="1">
        <f t="shared" si="118"/>
        <v>2415.4919417651595</v>
      </c>
      <c r="S286" s="1">
        <f t="shared" si="119"/>
        <v>9.782499999999999</v>
      </c>
      <c r="T286" s="60">
        <f t="shared" si="128"/>
        <v>11.738999999999997</v>
      </c>
      <c r="U286" s="101">
        <f t="shared" si="120"/>
        <v>21459.581151832463</v>
      </c>
      <c r="V286" s="102">
        <f t="shared" si="129"/>
        <v>8199.20436963351</v>
      </c>
      <c r="W286" s="102">
        <f t="shared" si="121"/>
        <v>17022.6</v>
      </c>
      <c r="X286" s="102">
        <f t="shared" si="122"/>
        <v>0</v>
      </c>
      <c r="Y286" s="103">
        <f t="shared" si="130"/>
        <v>0</v>
      </c>
      <c r="AB286" s="76"/>
      <c r="AC286" s="76"/>
      <c r="AD286" s="76"/>
      <c r="AE286" s="77"/>
      <c r="AF286" s="78"/>
      <c r="AG286" s="24"/>
      <c r="AH286" s="53"/>
      <c r="AI286" s="53"/>
      <c r="AJ286" s="53"/>
      <c r="AK286" s="53"/>
      <c r="AL286" s="53"/>
      <c r="AM286" s="1"/>
      <c r="AN286" s="1"/>
    </row>
    <row r="287" spans="2:40" ht="12.75">
      <c r="B287" s="122">
        <f t="shared" si="125"/>
        <v>39225.102468084406</v>
      </c>
      <c r="C287">
        <v>0</v>
      </c>
      <c r="D287" s="2">
        <v>0</v>
      </c>
      <c r="E287">
        <v>0.6</v>
      </c>
      <c r="F287">
        <f t="shared" si="112"/>
        <v>155.8999999999992</v>
      </c>
      <c r="G287" s="1">
        <f t="shared" si="126"/>
        <v>799.4976000000003</v>
      </c>
      <c r="H287" s="1">
        <f t="shared" si="131"/>
        <v>0</v>
      </c>
      <c r="I287">
        <v>60</v>
      </c>
      <c r="J287" s="64">
        <f t="shared" si="113"/>
        <v>60.000000000000014</v>
      </c>
      <c r="K287" s="117">
        <f t="shared" si="132"/>
        <v>0.00041666666666666653</v>
      </c>
      <c r="L287" s="1">
        <f t="shared" si="114"/>
        <v>46681.38552146597</v>
      </c>
      <c r="M287" s="1">
        <f t="shared" si="127"/>
        <v>9093.77640028558</v>
      </c>
      <c r="N287" s="1">
        <f t="shared" si="123"/>
        <v>21000</v>
      </c>
      <c r="O287" s="74">
        <f t="shared" si="115"/>
        <v>0.43303697144217046</v>
      </c>
      <c r="P287" s="84">
        <f t="shared" si="116"/>
        <v>4</v>
      </c>
      <c r="Q287" s="1">
        <f t="shared" si="117"/>
        <v>5.869499999999999</v>
      </c>
      <c r="R287" s="1">
        <f t="shared" si="118"/>
        <v>2421.3614417651593</v>
      </c>
      <c r="S287" s="1">
        <f t="shared" si="119"/>
        <v>9.782499999999999</v>
      </c>
      <c r="T287" s="60">
        <f t="shared" si="128"/>
        <v>11.738999999999997</v>
      </c>
      <c r="U287" s="101">
        <f t="shared" si="120"/>
        <v>21459.581151832463</v>
      </c>
      <c r="V287" s="102">
        <f t="shared" si="129"/>
        <v>8199.20436963351</v>
      </c>
      <c r="W287" s="102">
        <f t="shared" si="121"/>
        <v>17022.6</v>
      </c>
      <c r="X287" s="102">
        <f t="shared" si="122"/>
        <v>0</v>
      </c>
      <c r="Y287" s="103">
        <f t="shared" si="130"/>
        <v>0</v>
      </c>
      <c r="AB287" s="76"/>
      <c r="AC287" s="76"/>
      <c r="AD287" s="76"/>
      <c r="AE287" s="77"/>
      <c r="AF287" s="78"/>
      <c r="AG287" s="24"/>
      <c r="AH287" s="53"/>
      <c r="AI287" s="53"/>
      <c r="AJ287" s="53"/>
      <c r="AK287" s="53"/>
      <c r="AL287" s="53"/>
      <c r="AM287" s="1"/>
      <c r="AN287" s="1"/>
    </row>
    <row r="288" spans="2:40" ht="12.75">
      <c r="B288" s="122">
        <f t="shared" si="125"/>
        <v>39225.102884751075</v>
      </c>
      <c r="C288">
        <v>0</v>
      </c>
      <c r="D288" s="2">
        <v>-0.005</v>
      </c>
      <c r="E288">
        <v>0.6</v>
      </c>
      <c r="F288">
        <f t="shared" si="112"/>
        <v>156.4999999999992</v>
      </c>
      <c r="G288" s="1">
        <f t="shared" si="126"/>
        <v>783.6576000000002</v>
      </c>
      <c r="H288" s="1">
        <f t="shared" si="131"/>
        <v>0</v>
      </c>
      <c r="I288">
        <v>60</v>
      </c>
      <c r="J288" s="64">
        <f t="shared" si="113"/>
        <v>59.99999999999999</v>
      </c>
      <c r="K288" s="117">
        <f t="shared" si="132"/>
        <v>0.0004166666666666667</v>
      </c>
      <c r="L288" s="1">
        <f t="shared" si="114"/>
        <v>-10152.314478534026</v>
      </c>
      <c r="M288" s="1">
        <f t="shared" si="127"/>
        <v>-1977.7235997144205</v>
      </c>
      <c r="N288" s="1">
        <f t="shared" si="123"/>
        <v>21000</v>
      </c>
      <c r="O288" s="74">
        <f t="shared" si="115"/>
        <v>-0.09417731427211526</v>
      </c>
      <c r="P288" s="84">
        <f t="shared" si="116"/>
        <v>1</v>
      </c>
      <c r="Q288" s="1">
        <f t="shared" si="117"/>
        <v>1.467375</v>
      </c>
      <c r="R288" s="1">
        <f t="shared" si="118"/>
        <v>2422.8288167651594</v>
      </c>
      <c r="S288" s="1">
        <f t="shared" si="119"/>
        <v>2.445625</v>
      </c>
      <c r="T288" s="60">
        <f t="shared" si="128"/>
        <v>2.93475</v>
      </c>
      <c r="U288" s="101">
        <f t="shared" si="120"/>
        <v>21459.581151832463</v>
      </c>
      <c r="V288" s="102">
        <f t="shared" si="129"/>
        <v>8199.20436963351</v>
      </c>
      <c r="W288" s="102">
        <f t="shared" si="121"/>
        <v>17022.6</v>
      </c>
      <c r="X288" s="102">
        <f t="shared" si="122"/>
        <v>-56833.7</v>
      </c>
      <c r="Y288" s="103">
        <f t="shared" si="130"/>
        <v>0</v>
      </c>
      <c r="AB288" s="76"/>
      <c r="AC288" s="76"/>
      <c r="AD288" s="76"/>
      <c r="AE288" s="77"/>
      <c r="AF288" s="78"/>
      <c r="AG288" s="24"/>
      <c r="AH288" s="53"/>
      <c r="AI288" s="53"/>
      <c r="AJ288" s="53"/>
      <c r="AK288" s="53"/>
      <c r="AL288" s="53"/>
      <c r="AM288" s="1"/>
      <c r="AN288" s="1"/>
    </row>
    <row r="289" spans="2:40" ht="12.75">
      <c r="B289" s="122">
        <f t="shared" si="125"/>
        <v>39225.103301417745</v>
      </c>
      <c r="C289">
        <v>0</v>
      </c>
      <c r="D289" s="2">
        <v>-0.005</v>
      </c>
      <c r="E289">
        <v>0.6</v>
      </c>
      <c r="F289">
        <f t="shared" si="112"/>
        <v>157.0999999999992</v>
      </c>
      <c r="G289" s="1">
        <f t="shared" si="126"/>
        <v>767.8176000000002</v>
      </c>
      <c r="H289" s="1">
        <f t="shared" si="131"/>
        <v>0</v>
      </c>
      <c r="I289">
        <v>60</v>
      </c>
      <c r="J289" s="64">
        <f t="shared" si="113"/>
        <v>59.99999999999999</v>
      </c>
      <c r="K289" s="117">
        <f t="shared" si="132"/>
        <v>0.0004166666666666667</v>
      </c>
      <c r="L289" s="1">
        <f t="shared" si="114"/>
        <v>-10152.314478534026</v>
      </c>
      <c r="M289" s="1">
        <f t="shared" si="127"/>
        <v>-1977.7235997144205</v>
      </c>
      <c r="N289" s="1">
        <f t="shared" si="123"/>
        <v>21000</v>
      </c>
      <c r="O289" s="74">
        <f t="shared" si="115"/>
        <v>-0.09417731427211526</v>
      </c>
      <c r="P289" s="84">
        <f t="shared" si="116"/>
        <v>1</v>
      </c>
      <c r="Q289" s="1">
        <f t="shared" si="117"/>
        <v>1.467375</v>
      </c>
      <c r="R289" s="1">
        <f t="shared" si="118"/>
        <v>2424.2961917651596</v>
      </c>
      <c r="S289" s="1">
        <f t="shared" si="119"/>
        <v>2.445625</v>
      </c>
      <c r="T289" s="60">
        <f t="shared" si="128"/>
        <v>2.93475</v>
      </c>
      <c r="U289" s="101">
        <f t="shared" si="120"/>
        <v>21459.581151832463</v>
      </c>
      <c r="V289" s="102">
        <f t="shared" si="129"/>
        <v>8199.20436963351</v>
      </c>
      <c r="W289" s="102">
        <f t="shared" si="121"/>
        <v>17022.6</v>
      </c>
      <c r="X289" s="102">
        <f t="shared" si="122"/>
        <v>-56833.7</v>
      </c>
      <c r="Y289" s="103">
        <f t="shared" si="130"/>
        <v>0</v>
      </c>
      <c r="AB289" s="76"/>
      <c r="AC289" s="76"/>
      <c r="AD289" s="76"/>
      <c r="AE289" s="77"/>
      <c r="AF289" s="78"/>
      <c r="AG289" s="24"/>
      <c r="AH289" s="53"/>
      <c r="AI289" s="53"/>
      <c r="AJ289" s="53"/>
      <c r="AK289" s="53"/>
      <c r="AL289" s="53"/>
      <c r="AM289" s="1"/>
      <c r="AN289" s="1"/>
    </row>
    <row r="290" spans="2:40" ht="12.75">
      <c r="B290" s="122">
        <f t="shared" si="125"/>
        <v>39225.103718084414</v>
      </c>
      <c r="C290">
        <v>0</v>
      </c>
      <c r="D290" s="2">
        <v>-0.005</v>
      </c>
      <c r="E290">
        <v>0.6</v>
      </c>
      <c r="F290">
        <f t="shared" si="112"/>
        <v>157.6999999999992</v>
      </c>
      <c r="G290" s="1">
        <f t="shared" si="126"/>
        <v>751.9776000000002</v>
      </c>
      <c r="H290" s="1">
        <f t="shared" si="131"/>
        <v>0</v>
      </c>
      <c r="I290">
        <v>60</v>
      </c>
      <c r="J290" s="64">
        <f t="shared" si="113"/>
        <v>59.99999999999999</v>
      </c>
      <c r="K290" s="117">
        <f t="shared" si="132"/>
        <v>0.0004166666666666667</v>
      </c>
      <c r="L290" s="1">
        <f t="shared" si="114"/>
        <v>-10152.314478534026</v>
      </c>
      <c r="M290" s="1">
        <f t="shared" si="127"/>
        <v>-1977.7235997144205</v>
      </c>
      <c r="N290" s="1">
        <f t="shared" si="123"/>
        <v>21000</v>
      </c>
      <c r="O290" s="74">
        <f t="shared" si="115"/>
        <v>-0.09417731427211526</v>
      </c>
      <c r="P290" s="84">
        <f t="shared" si="116"/>
        <v>1</v>
      </c>
      <c r="Q290" s="1">
        <f t="shared" si="117"/>
        <v>1.467375</v>
      </c>
      <c r="R290" s="1">
        <f t="shared" si="118"/>
        <v>2425.76356676516</v>
      </c>
      <c r="S290" s="1">
        <f t="shared" si="119"/>
        <v>2.445625</v>
      </c>
      <c r="T290" s="60">
        <f t="shared" si="128"/>
        <v>2.93475</v>
      </c>
      <c r="U290" s="101">
        <f t="shared" si="120"/>
        <v>21459.581151832463</v>
      </c>
      <c r="V290" s="102">
        <f t="shared" si="129"/>
        <v>8199.20436963351</v>
      </c>
      <c r="W290" s="102">
        <f t="shared" si="121"/>
        <v>17022.6</v>
      </c>
      <c r="X290" s="102">
        <f t="shared" si="122"/>
        <v>-56833.7</v>
      </c>
      <c r="Y290" s="103">
        <f t="shared" si="130"/>
        <v>0</v>
      </c>
      <c r="AB290" s="76"/>
      <c r="AC290" s="76"/>
      <c r="AD290" s="76"/>
      <c r="AE290" s="77"/>
      <c r="AF290" s="78"/>
      <c r="AG290" s="24"/>
      <c r="AH290" s="53"/>
      <c r="AI290" s="53"/>
      <c r="AJ290" s="53"/>
      <c r="AK290" s="53"/>
      <c r="AL290" s="53"/>
      <c r="AM290" s="1"/>
      <c r="AN290" s="1"/>
    </row>
    <row r="291" spans="2:40" ht="12.75">
      <c r="B291" s="122">
        <f t="shared" si="125"/>
        <v>39225.10413475108</v>
      </c>
      <c r="C291">
        <v>0</v>
      </c>
      <c r="D291" s="2">
        <v>-0.004</v>
      </c>
      <c r="E291">
        <v>0.6</v>
      </c>
      <c r="F291">
        <f t="shared" si="112"/>
        <v>158.2999999999992</v>
      </c>
      <c r="G291" s="1">
        <f t="shared" si="126"/>
        <v>739.3056000000001</v>
      </c>
      <c r="H291" s="1">
        <f t="shared" si="131"/>
        <v>0</v>
      </c>
      <c r="I291">
        <v>60</v>
      </c>
      <c r="J291" s="64">
        <f t="shared" si="113"/>
        <v>60</v>
      </c>
      <c r="K291" s="117">
        <f t="shared" si="132"/>
        <v>0.0004166666666666667</v>
      </c>
      <c r="L291" s="1">
        <f t="shared" si="114"/>
        <v>1214.4255214659715</v>
      </c>
      <c r="M291" s="1">
        <f t="shared" si="127"/>
        <v>236.57640028557887</v>
      </c>
      <c r="N291" s="1">
        <f t="shared" si="123"/>
        <v>21000</v>
      </c>
      <c r="O291" s="74">
        <f t="shared" si="115"/>
        <v>0.011265542870741852</v>
      </c>
      <c r="P291" s="84">
        <f t="shared" si="116"/>
        <v>1</v>
      </c>
      <c r="Q291" s="1">
        <f t="shared" si="117"/>
        <v>1.467375</v>
      </c>
      <c r="R291" s="1">
        <f t="shared" si="118"/>
        <v>2427.23094176516</v>
      </c>
      <c r="S291" s="1">
        <f t="shared" si="119"/>
        <v>2.445625</v>
      </c>
      <c r="T291" s="60">
        <f t="shared" si="128"/>
        <v>2.93475</v>
      </c>
      <c r="U291" s="101">
        <f t="shared" si="120"/>
        <v>21459.581151832463</v>
      </c>
      <c r="V291" s="102">
        <f t="shared" si="129"/>
        <v>8199.20436963351</v>
      </c>
      <c r="W291" s="102">
        <f t="shared" si="121"/>
        <v>17022.6</v>
      </c>
      <c r="X291" s="102">
        <f t="shared" si="122"/>
        <v>-45466.96</v>
      </c>
      <c r="Y291" s="103">
        <f t="shared" si="130"/>
        <v>0</v>
      </c>
      <c r="AB291" s="76"/>
      <c r="AC291" s="76"/>
      <c r="AD291" s="76"/>
      <c r="AE291" s="77"/>
      <c r="AF291" s="78"/>
      <c r="AG291" s="24"/>
      <c r="AH291" s="53"/>
      <c r="AI291" s="53"/>
      <c r="AJ291" s="53"/>
      <c r="AK291" s="53"/>
      <c r="AL291" s="53"/>
      <c r="AM291" s="1"/>
      <c r="AN291" s="1"/>
    </row>
    <row r="292" spans="2:40" ht="12.75">
      <c r="B292" s="122">
        <f t="shared" si="125"/>
        <v>39225.10455141775</v>
      </c>
      <c r="C292">
        <v>0</v>
      </c>
      <c r="D292" s="2">
        <v>-0.004</v>
      </c>
      <c r="E292">
        <v>0.6</v>
      </c>
      <c r="F292">
        <f t="shared" si="112"/>
        <v>158.89999999999918</v>
      </c>
      <c r="G292" s="1">
        <f t="shared" si="126"/>
        <v>726.6336000000001</v>
      </c>
      <c r="H292" s="1">
        <f t="shared" si="131"/>
        <v>0</v>
      </c>
      <c r="I292">
        <v>60</v>
      </c>
      <c r="J292" s="64">
        <f t="shared" si="113"/>
        <v>60</v>
      </c>
      <c r="K292" s="117">
        <f t="shared" si="132"/>
        <v>0.0004166666666666667</v>
      </c>
      <c r="L292" s="1">
        <f t="shared" si="114"/>
        <v>1214.4255214659715</v>
      </c>
      <c r="M292" s="1">
        <f t="shared" si="127"/>
        <v>236.57640028557887</v>
      </c>
      <c r="N292" s="1">
        <f t="shared" si="123"/>
        <v>21000</v>
      </c>
      <c r="O292" s="74">
        <f t="shared" si="115"/>
        <v>0.011265542870741852</v>
      </c>
      <c r="P292" s="84">
        <f t="shared" si="116"/>
        <v>1</v>
      </c>
      <c r="Q292" s="1">
        <f t="shared" si="117"/>
        <v>1.467375</v>
      </c>
      <c r="R292" s="1">
        <f t="shared" si="118"/>
        <v>2428.69831676516</v>
      </c>
      <c r="S292" s="1">
        <f t="shared" si="119"/>
        <v>2.445625</v>
      </c>
      <c r="T292" s="60">
        <f t="shared" si="128"/>
        <v>2.93475</v>
      </c>
      <c r="U292" s="101">
        <f t="shared" si="120"/>
        <v>21459.581151832463</v>
      </c>
      <c r="V292" s="102">
        <f t="shared" si="129"/>
        <v>8199.20436963351</v>
      </c>
      <c r="W292" s="102">
        <f t="shared" si="121"/>
        <v>17022.6</v>
      </c>
      <c r="X292" s="102">
        <f t="shared" si="122"/>
        <v>-45466.96</v>
      </c>
      <c r="Y292" s="103">
        <f t="shared" si="130"/>
        <v>0</v>
      </c>
      <c r="AB292" s="76"/>
      <c r="AC292" s="76"/>
      <c r="AD292" s="76"/>
      <c r="AE292" s="77"/>
      <c r="AF292" s="78"/>
      <c r="AG292" s="24"/>
      <c r="AH292" s="53"/>
      <c r="AI292" s="53"/>
      <c r="AJ292" s="53"/>
      <c r="AK292" s="53"/>
      <c r="AL292" s="53"/>
      <c r="AM292" s="1"/>
      <c r="AN292" s="1"/>
    </row>
    <row r="293" spans="2:40" ht="12.75">
      <c r="B293" s="122">
        <f t="shared" si="125"/>
        <v>39225.10496808442</v>
      </c>
      <c r="C293">
        <v>0</v>
      </c>
      <c r="D293" s="2">
        <v>-0.004</v>
      </c>
      <c r="E293">
        <v>0.6</v>
      </c>
      <c r="F293">
        <f t="shared" si="112"/>
        <v>159.49999999999918</v>
      </c>
      <c r="G293" s="1">
        <f t="shared" si="126"/>
        <v>713.9616000000001</v>
      </c>
      <c r="H293" s="1">
        <f t="shared" si="131"/>
        <v>0</v>
      </c>
      <c r="I293">
        <v>60</v>
      </c>
      <c r="J293" s="64">
        <f t="shared" si="113"/>
        <v>60</v>
      </c>
      <c r="K293" s="117">
        <f t="shared" si="132"/>
        <v>0.0004166666666666667</v>
      </c>
      <c r="L293" s="1">
        <f t="shared" si="114"/>
        <v>1214.4255214659715</v>
      </c>
      <c r="M293" s="1">
        <f t="shared" si="127"/>
        <v>236.57640028557887</v>
      </c>
      <c r="N293" s="1">
        <f t="shared" si="123"/>
        <v>21000</v>
      </c>
      <c r="O293" s="74">
        <f t="shared" si="115"/>
        <v>0.011265542870741852</v>
      </c>
      <c r="P293" s="84">
        <f t="shared" si="116"/>
        <v>1</v>
      </c>
      <c r="Q293" s="1">
        <f t="shared" si="117"/>
        <v>1.467375</v>
      </c>
      <c r="R293" s="1">
        <f t="shared" si="118"/>
        <v>2430.1656917651603</v>
      </c>
      <c r="S293" s="1">
        <f t="shared" si="119"/>
        <v>2.445625</v>
      </c>
      <c r="T293" s="60">
        <f t="shared" si="128"/>
        <v>2.93475</v>
      </c>
      <c r="U293" s="101">
        <f t="shared" si="120"/>
        <v>21459.581151832463</v>
      </c>
      <c r="V293" s="102">
        <f t="shared" si="129"/>
        <v>8199.20436963351</v>
      </c>
      <c r="W293" s="102">
        <f t="shared" si="121"/>
        <v>17022.6</v>
      </c>
      <c r="X293" s="102">
        <f t="shared" si="122"/>
        <v>-45466.96</v>
      </c>
      <c r="Y293" s="103">
        <f t="shared" si="130"/>
        <v>0</v>
      </c>
      <c r="AB293" s="76"/>
      <c r="AC293" s="76"/>
      <c r="AD293" s="76"/>
      <c r="AE293" s="77"/>
      <c r="AF293" s="78"/>
      <c r="AG293" s="24"/>
      <c r="AH293" s="53"/>
      <c r="AI293" s="53"/>
      <c r="AJ293" s="53"/>
      <c r="AK293" s="53"/>
      <c r="AL293" s="53"/>
      <c r="AM293" s="1"/>
      <c r="AN293" s="1"/>
    </row>
    <row r="294" spans="2:40" ht="12.75">
      <c r="B294" s="122">
        <f t="shared" si="125"/>
        <v>39225.10538475109</v>
      </c>
      <c r="C294">
        <v>0</v>
      </c>
      <c r="D294" s="2">
        <v>-0.003</v>
      </c>
      <c r="E294">
        <v>0.6</v>
      </c>
      <c r="F294">
        <f t="shared" si="112"/>
        <v>160.09999999999917</v>
      </c>
      <c r="G294" s="1">
        <f t="shared" si="126"/>
        <v>704.4576000000001</v>
      </c>
      <c r="H294" s="1">
        <f t="shared" si="131"/>
        <v>0</v>
      </c>
      <c r="I294">
        <v>60</v>
      </c>
      <c r="J294" s="64">
        <f t="shared" si="113"/>
        <v>59.99999999999999</v>
      </c>
      <c r="K294" s="117">
        <f t="shared" si="132"/>
        <v>0.0004166666666666667</v>
      </c>
      <c r="L294" s="1">
        <f t="shared" si="114"/>
        <v>12581.16552146597</v>
      </c>
      <c r="M294" s="1">
        <f t="shared" si="127"/>
        <v>2450.8764002855783</v>
      </c>
      <c r="N294" s="1">
        <f t="shared" si="123"/>
        <v>21000</v>
      </c>
      <c r="O294" s="74">
        <f t="shared" si="115"/>
        <v>0.11670840001359896</v>
      </c>
      <c r="P294" s="84">
        <f t="shared" si="116"/>
        <v>1</v>
      </c>
      <c r="Q294" s="1">
        <f t="shared" si="117"/>
        <v>1.467375</v>
      </c>
      <c r="R294" s="1">
        <f t="shared" si="118"/>
        <v>2431.6330667651605</v>
      </c>
      <c r="S294" s="1">
        <f t="shared" si="119"/>
        <v>2.445625</v>
      </c>
      <c r="T294" s="60">
        <f t="shared" si="128"/>
        <v>2.93475</v>
      </c>
      <c r="U294" s="101">
        <f t="shared" si="120"/>
        <v>21459.581151832463</v>
      </c>
      <c r="V294" s="102">
        <f t="shared" si="129"/>
        <v>8199.20436963351</v>
      </c>
      <c r="W294" s="102">
        <f t="shared" si="121"/>
        <v>17022.6</v>
      </c>
      <c r="X294" s="102">
        <f t="shared" si="122"/>
        <v>-34100.22</v>
      </c>
      <c r="Y294" s="103">
        <f t="shared" si="130"/>
        <v>0</v>
      </c>
      <c r="AB294" s="76"/>
      <c r="AC294" s="76"/>
      <c r="AD294" s="76"/>
      <c r="AE294" s="77"/>
      <c r="AF294" s="78"/>
      <c r="AG294" s="24"/>
      <c r="AH294" s="53"/>
      <c r="AI294" s="53"/>
      <c r="AJ294" s="53"/>
      <c r="AK294" s="53"/>
      <c r="AL294" s="53"/>
      <c r="AM294" s="1"/>
      <c r="AN294" s="1"/>
    </row>
    <row r="295" spans="2:40" ht="12.75">
      <c r="B295" s="122">
        <f t="shared" si="125"/>
        <v>39225.10580141776</v>
      </c>
      <c r="C295">
        <v>2</v>
      </c>
      <c r="D295" s="2">
        <v>-0.003</v>
      </c>
      <c r="E295">
        <v>0.6</v>
      </c>
      <c r="F295">
        <f t="shared" si="112"/>
        <v>160.69999999999916</v>
      </c>
      <c r="G295" s="1">
        <f t="shared" si="126"/>
        <v>694.9536</v>
      </c>
      <c r="H295" s="1">
        <f t="shared" si="131"/>
        <v>0</v>
      </c>
      <c r="I295">
        <v>60</v>
      </c>
      <c r="J295" s="64">
        <f t="shared" si="113"/>
        <v>60</v>
      </c>
      <c r="K295" s="117">
        <f t="shared" si="132"/>
        <v>0.0004166666666666667</v>
      </c>
      <c r="L295" s="1">
        <f t="shared" si="114"/>
        <v>44334.23512146597</v>
      </c>
      <c r="M295" s="1">
        <f t="shared" si="127"/>
        <v>8636.539309376489</v>
      </c>
      <c r="N295" s="1">
        <f t="shared" si="123"/>
        <v>21000</v>
      </c>
      <c r="O295" s="74">
        <f t="shared" si="115"/>
        <v>0.41126377663697566</v>
      </c>
      <c r="P295" s="84">
        <f t="shared" si="116"/>
        <v>3</v>
      </c>
      <c r="Q295" s="1">
        <f t="shared" si="117"/>
        <v>4.402125</v>
      </c>
      <c r="R295" s="1">
        <f t="shared" si="118"/>
        <v>2436.0351917651606</v>
      </c>
      <c r="S295" s="1">
        <f t="shared" si="119"/>
        <v>7.336875</v>
      </c>
      <c r="T295" s="60">
        <f t="shared" si="128"/>
        <v>8.80425</v>
      </c>
      <c r="U295" s="101">
        <f t="shared" si="120"/>
        <v>21459.581151832463</v>
      </c>
      <c r="V295" s="102">
        <f t="shared" si="129"/>
        <v>8199.20436963351</v>
      </c>
      <c r="W295" s="102">
        <f t="shared" si="121"/>
        <v>17022.6</v>
      </c>
      <c r="X295" s="102">
        <f t="shared" si="122"/>
        <v>-34100.22</v>
      </c>
      <c r="Y295" s="103">
        <f t="shared" si="130"/>
        <v>31753.0696</v>
      </c>
      <c r="AB295" s="76"/>
      <c r="AC295" s="76"/>
      <c r="AD295" s="76"/>
      <c r="AE295" s="77"/>
      <c r="AF295" s="78"/>
      <c r="AG295" s="24"/>
      <c r="AH295" s="53"/>
      <c r="AI295" s="53"/>
      <c r="AJ295" s="53"/>
      <c r="AK295" s="53"/>
      <c r="AL295" s="53"/>
      <c r="AM295" s="1"/>
      <c r="AN295" s="1"/>
    </row>
    <row r="296" spans="2:40" ht="12.75">
      <c r="B296" s="122">
        <f t="shared" si="125"/>
        <v>39225.10621808443</v>
      </c>
      <c r="C296">
        <v>0</v>
      </c>
      <c r="D296" s="2">
        <v>-0.003</v>
      </c>
      <c r="E296">
        <v>0.6</v>
      </c>
      <c r="F296">
        <f aca="true" t="shared" si="133" ref="F296:F359">E296+F295</f>
        <v>161.29999999999916</v>
      </c>
      <c r="G296" s="1">
        <f t="shared" si="126"/>
        <v>685.4496</v>
      </c>
      <c r="H296" s="1">
        <f t="shared" si="131"/>
        <v>0</v>
      </c>
      <c r="I296">
        <v>60</v>
      </c>
      <c r="J296" s="64">
        <f aca="true" t="shared" si="134" ref="J296:J359">IF(M296&lt;=N296,M296/L296*308,N296/L296*308)</f>
        <v>60</v>
      </c>
      <c r="K296" s="117">
        <f t="shared" si="132"/>
        <v>0.0004166666666666667</v>
      </c>
      <c r="L296" s="1">
        <f aca="true" t="shared" si="135" ref="L296:L359">SUM(U296:Y296)</f>
        <v>44333.16552146597</v>
      </c>
      <c r="M296" s="1">
        <f t="shared" si="127"/>
        <v>8636.330945740125</v>
      </c>
      <c r="N296" s="1">
        <f t="shared" si="123"/>
        <v>21000</v>
      </c>
      <c r="O296" s="74">
        <f aca="true" t="shared" si="136" ref="O296:O359">M296/N296</f>
        <v>0.41125385455905356</v>
      </c>
      <c r="P296" s="84">
        <f aca="true" t="shared" si="137" ref="P296:P359">ROUNDUP(IF(M296/N296*9&gt;=8,8,IF(M296/N296*10&gt;0,(M296-M296*0.3)/N296*10,1)),0)</f>
        <v>3</v>
      </c>
      <c r="Q296" s="1">
        <f aca="true" t="shared" si="138" ref="Q296:Q359">IF($AB$11*E296/J296*VLOOKUP($AB$10,$AA$34:$AQ$44,MATCH(P296,$AA$34:$AQ$34,),0)&gt;0,$AB$11*E296/J296*VLOOKUP($AB$10,$AA$34:$AQ$44,MATCH(P296,$AA$34:$AQ$34,),0),0)</f>
        <v>4.402125</v>
      </c>
      <c r="R296" s="1">
        <f aca="true" t="shared" si="139" ref="R296:R359">Q296+R295</f>
        <v>2440.4373167651606</v>
      </c>
      <c r="S296" s="1">
        <f aca="true" t="shared" si="140" ref="S296:S359">Q296/E296</f>
        <v>7.336875</v>
      </c>
      <c r="T296" s="60">
        <f t="shared" si="128"/>
        <v>8.80425</v>
      </c>
      <c r="U296" s="101">
        <f aca="true" t="shared" si="141" ref="U296:U359">$AB$11*((VLOOKUP($AB$10,$AA$36:$AI$44,7,0)*VLOOKUP($AB$10,$AA$36:$AI$44,5,0)*I296*I296)/(VLOOKUP($AB$10,$AA$36:$AI$44,9,0)/VLOOKUP($AB$10,$AA$36:$AI$44,8,0))/VLOOKUP($AB$10,$AA$36:$AI$44,8,0))+((VLOOKUP($AB$12,$AA$27:$AH$33,4,0)*VLOOKUP($AB$12,$AA$27:$AH$33,5,0)*I296*I296)/(((VLOOKUP($AB$12,$AA$27:$AH$33,7,0)/2000))/((VLOOKUP($AB$12,$AA$27:$AH$33,8,0))))/VLOOKUP($AB$12,$AA$27:$AH$33,8,0))*$AE$7</f>
        <v>21459.581151832463</v>
      </c>
      <c r="V296" s="102">
        <f t="shared" si="129"/>
        <v>8199.20436963351</v>
      </c>
      <c r="W296" s="102">
        <f aca="true" t="shared" si="142" ref="W296:W359">$AB$11*(VLOOKUP($AB$10,$AA$36:$AI$44,6,0)*I296)+(VLOOKUP($AB$12,$AA$27:$AH$33,3,0)*I296)*$AE$7</f>
        <v>17022.6</v>
      </c>
      <c r="X296" s="102">
        <f aca="true" t="shared" si="143" ref="X296:X359">$AB$11*(20*D296*(VLOOKUP($AB$10,$AA$36:$AI$44,9,0)))+(20*D296*(VLOOKUP($AB$12,$AA$26:$AH$33,7,0)/2000))*$AE$7</f>
        <v>-34100.22</v>
      </c>
      <c r="Y296" s="103">
        <f t="shared" si="130"/>
        <v>31752</v>
      </c>
      <c r="AB296" s="76"/>
      <c r="AC296" s="76"/>
      <c r="AD296" s="76"/>
      <c r="AE296" s="77"/>
      <c r="AF296" s="78"/>
      <c r="AG296" s="24"/>
      <c r="AH296" s="53"/>
      <c r="AI296" s="53"/>
      <c r="AJ296" s="53"/>
      <c r="AK296" s="53"/>
      <c r="AL296" s="53"/>
      <c r="AM296" s="1"/>
      <c r="AN296" s="1"/>
    </row>
    <row r="297" spans="2:40" ht="12.75">
      <c r="B297" s="122">
        <f t="shared" si="125"/>
        <v>39225.1066347511</v>
      </c>
      <c r="C297">
        <v>0</v>
      </c>
      <c r="D297" s="2">
        <v>-0.002</v>
      </c>
      <c r="E297">
        <v>0.6</v>
      </c>
      <c r="F297">
        <f t="shared" si="133"/>
        <v>161.89999999999915</v>
      </c>
      <c r="G297" s="1">
        <f t="shared" si="126"/>
        <v>679.1136</v>
      </c>
      <c r="H297" s="1">
        <f t="shared" si="131"/>
        <v>0</v>
      </c>
      <c r="I297">
        <v>60</v>
      </c>
      <c r="J297" s="64">
        <f t="shared" si="134"/>
        <v>60</v>
      </c>
      <c r="K297" s="117">
        <f t="shared" si="132"/>
        <v>0.0004166666666666667</v>
      </c>
      <c r="L297" s="1">
        <f t="shared" si="135"/>
        <v>23947.90552146597</v>
      </c>
      <c r="M297" s="1">
        <f t="shared" si="127"/>
        <v>4665.176400285579</v>
      </c>
      <c r="N297" s="1">
        <f t="shared" si="123"/>
        <v>21000</v>
      </c>
      <c r="O297" s="74">
        <f t="shared" si="136"/>
        <v>0.22215125715645614</v>
      </c>
      <c r="P297" s="84">
        <f t="shared" si="137"/>
        <v>2</v>
      </c>
      <c r="Q297" s="1">
        <f t="shared" si="138"/>
        <v>2.93475</v>
      </c>
      <c r="R297" s="1">
        <f t="shared" si="139"/>
        <v>2443.3720667651605</v>
      </c>
      <c r="S297" s="1">
        <f t="shared" si="140"/>
        <v>4.89125</v>
      </c>
      <c r="T297" s="60">
        <f t="shared" si="128"/>
        <v>5.8695</v>
      </c>
      <c r="U297" s="101">
        <f t="shared" si="141"/>
        <v>21459.581151832463</v>
      </c>
      <c r="V297" s="102">
        <f t="shared" si="129"/>
        <v>8199.20436963351</v>
      </c>
      <c r="W297" s="102">
        <f t="shared" si="142"/>
        <v>17022.6</v>
      </c>
      <c r="X297" s="102">
        <f t="shared" si="143"/>
        <v>-22733.48</v>
      </c>
      <c r="Y297" s="103">
        <f t="shared" si="130"/>
        <v>0</v>
      </c>
      <c r="AB297" s="76"/>
      <c r="AC297" s="76"/>
      <c r="AD297" s="76"/>
      <c r="AE297" s="77"/>
      <c r="AF297" s="78"/>
      <c r="AG297" s="24"/>
      <c r="AH297" s="53"/>
      <c r="AI297" s="53"/>
      <c r="AJ297" s="53"/>
      <c r="AK297" s="53"/>
      <c r="AL297" s="53"/>
      <c r="AM297" s="1"/>
      <c r="AN297" s="1"/>
    </row>
    <row r="298" spans="2:40" ht="12.75">
      <c r="B298" s="122">
        <f t="shared" si="125"/>
        <v>39225.10705141777</v>
      </c>
      <c r="C298">
        <v>0</v>
      </c>
      <c r="D298" s="2">
        <v>0</v>
      </c>
      <c r="E298">
        <v>0.6</v>
      </c>
      <c r="F298">
        <f t="shared" si="133"/>
        <v>162.49999999999915</v>
      </c>
      <c r="G298" s="1">
        <f t="shared" si="126"/>
        <v>679.1136</v>
      </c>
      <c r="H298" s="1">
        <f t="shared" si="131"/>
        <v>0</v>
      </c>
      <c r="I298">
        <v>60</v>
      </c>
      <c r="J298" s="64">
        <f t="shared" si="134"/>
        <v>60.000000000000014</v>
      </c>
      <c r="K298" s="117">
        <f t="shared" si="132"/>
        <v>0.00041666666666666653</v>
      </c>
      <c r="L298" s="1">
        <f t="shared" si="135"/>
        <v>46681.38552146597</v>
      </c>
      <c r="M298" s="1">
        <f t="shared" si="127"/>
        <v>9093.77640028558</v>
      </c>
      <c r="N298" s="1">
        <f aca="true" t="shared" si="144" ref="N298:N361">$AB$11*(VLOOKUP($AB$10,$AA$36:$AI$44,4,0))</f>
        <v>21000</v>
      </c>
      <c r="O298" s="74">
        <f t="shared" si="136"/>
        <v>0.43303697144217046</v>
      </c>
      <c r="P298" s="84">
        <f t="shared" si="137"/>
        <v>4</v>
      </c>
      <c r="Q298" s="1">
        <f t="shared" si="138"/>
        <v>5.869499999999999</v>
      </c>
      <c r="R298" s="1">
        <f t="shared" si="139"/>
        <v>2449.2415667651603</v>
      </c>
      <c r="S298" s="1">
        <f t="shared" si="140"/>
        <v>9.782499999999999</v>
      </c>
      <c r="T298" s="60">
        <f t="shared" si="128"/>
        <v>11.738999999999997</v>
      </c>
      <c r="U298" s="101">
        <f t="shared" si="141"/>
        <v>21459.581151832463</v>
      </c>
      <c r="V298" s="102">
        <f t="shared" si="129"/>
        <v>8199.20436963351</v>
      </c>
      <c r="W298" s="102">
        <f t="shared" si="142"/>
        <v>17022.6</v>
      </c>
      <c r="X298" s="102">
        <f t="shared" si="143"/>
        <v>0</v>
      </c>
      <c r="Y298" s="103">
        <f t="shared" si="130"/>
        <v>0</v>
      </c>
      <c r="AB298" s="76"/>
      <c r="AC298" s="76"/>
      <c r="AD298" s="76"/>
      <c r="AE298" s="77"/>
      <c r="AF298" s="78"/>
      <c r="AG298" s="24"/>
      <c r="AH298" s="53"/>
      <c r="AI298" s="53"/>
      <c r="AJ298" s="53"/>
      <c r="AK298" s="53"/>
      <c r="AL298" s="53"/>
      <c r="AM298" s="1"/>
      <c r="AN298" s="1"/>
    </row>
    <row r="299" spans="2:40" ht="12.75">
      <c r="B299" s="122">
        <f t="shared" si="125"/>
        <v>39225.10746808444</v>
      </c>
      <c r="C299">
        <v>0</v>
      </c>
      <c r="D299" s="2">
        <v>0</v>
      </c>
      <c r="E299">
        <v>0.6</v>
      </c>
      <c r="F299">
        <f t="shared" si="133"/>
        <v>163.09999999999914</v>
      </c>
      <c r="G299" s="1">
        <f t="shared" si="126"/>
        <v>679.1136</v>
      </c>
      <c r="H299" s="1">
        <f t="shared" si="131"/>
        <v>0</v>
      </c>
      <c r="I299">
        <v>60</v>
      </c>
      <c r="J299" s="64">
        <f t="shared" si="134"/>
        <v>60.000000000000014</v>
      </c>
      <c r="K299" s="117">
        <f t="shared" si="132"/>
        <v>0.00041666666666666653</v>
      </c>
      <c r="L299" s="1">
        <f t="shared" si="135"/>
        <v>46681.38552146597</v>
      </c>
      <c r="M299" s="1">
        <f t="shared" si="127"/>
        <v>9093.77640028558</v>
      </c>
      <c r="N299" s="1">
        <f t="shared" si="144"/>
        <v>21000</v>
      </c>
      <c r="O299" s="74">
        <f t="shared" si="136"/>
        <v>0.43303697144217046</v>
      </c>
      <c r="P299" s="84">
        <f t="shared" si="137"/>
        <v>4</v>
      </c>
      <c r="Q299" s="1">
        <f t="shared" si="138"/>
        <v>5.869499999999999</v>
      </c>
      <c r="R299" s="1">
        <f t="shared" si="139"/>
        <v>2455.11106676516</v>
      </c>
      <c r="S299" s="1">
        <f t="shared" si="140"/>
        <v>9.782499999999999</v>
      </c>
      <c r="T299" s="60">
        <f t="shared" si="128"/>
        <v>11.738999999999997</v>
      </c>
      <c r="U299" s="101">
        <f t="shared" si="141"/>
        <v>21459.581151832463</v>
      </c>
      <c r="V299" s="102">
        <f t="shared" si="129"/>
        <v>8199.20436963351</v>
      </c>
      <c r="W299" s="102">
        <f t="shared" si="142"/>
        <v>17022.6</v>
      </c>
      <c r="X299" s="102">
        <f t="shared" si="143"/>
        <v>0</v>
      </c>
      <c r="Y299" s="103">
        <f t="shared" si="130"/>
        <v>0</v>
      </c>
      <c r="AB299" s="76"/>
      <c r="AC299" s="76"/>
      <c r="AD299" s="76"/>
      <c r="AE299" s="77"/>
      <c r="AF299" s="78"/>
      <c r="AG299" s="24"/>
      <c r="AH299" s="53"/>
      <c r="AI299" s="53"/>
      <c r="AJ299" s="53"/>
      <c r="AK299" s="53"/>
      <c r="AL299" s="53"/>
      <c r="AM299" s="1"/>
      <c r="AN299" s="1"/>
    </row>
    <row r="300" spans="2:40" ht="12.75">
      <c r="B300" s="122">
        <f t="shared" si="125"/>
        <v>39225.10789397932</v>
      </c>
      <c r="C300">
        <v>4</v>
      </c>
      <c r="D300" s="2">
        <v>0</v>
      </c>
      <c r="E300">
        <v>0.6</v>
      </c>
      <c r="F300">
        <f t="shared" si="133"/>
        <v>163.69999999999914</v>
      </c>
      <c r="G300" s="1">
        <f t="shared" si="126"/>
        <v>679.1136</v>
      </c>
      <c r="H300" s="1">
        <f t="shared" si="131"/>
        <v>0</v>
      </c>
      <c r="I300">
        <v>60</v>
      </c>
      <c r="J300" s="64">
        <f t="shared" si="134"/>
        <v>58.69993010869359</v>
      </c>
      <c r="K300" s="117">
        <f t="shared" si="132"/>
        <v>0.0004258948852870515</v>
      </c>
      <c r="L300" s="1">
        <f t="shared" si="135"/>
        <v>110187.52472146598</v>
      </c>
      <c r="M300" s="1">
        <f t="shared" si="127"/>
        <v>21465.102218467397</v>
      </c>
      <c r="N300" s="1">
        <f t="shared" si="144"/>
        <v>21000</v>
      </c>
      <c r="O300" s="74">
        <f t="shared" si="136"/>
        <v>1.0221477246889237</v>
      </c>
      <c r="P300" s="84">
        <f t="shared" si="137"/>
        <v>8</v>
      </c>
      <c r="Q300" s="1">
        <f t="shared" si="138"/>
        <v>11.998992140123276</v>
      </c>
      <c r="R300" s="1">
        <f t="shared" si="139"/>
        <v>2467.1100589052835</v>
      </c>
      <c r="S300" s="1">
        <f t="shared" si="140"/>
        <v>19.998320233538795</v>
      </c>
      <c r="T300" s="60">
        <f t="shared" si="128"/>
        <v>23.997984280246552</v>
      </c>
      <c r="U300" s="101">
        <f t="shared" si="141"/>
        <v>21459.581151832463</v>
      </c>
      <c r="V300" s="102">
        <f t="shared" si="129"/>
        <v>8199.20436963351</v>
      </c>
      <c r="W300" s="102">
        <f t="shared" si="142"/>
        <v>17022.6</v>
      </c>
      <c r="X300" s="102">
        <f t="shared" si="143"/>
        <v>0</v>
      </c>
      <c r="Y300" s="103">
        <f t="shared" si="130"/>
        <v>63506.1392</v>
      </c>
      <c r="AB300" s="76"/>
      <c r="AC300" s="76"/>
      <c r="AD300" s="76"/>
      <c r="AE300" s="77"/>
      <c r="AF300" s="78"/>
      <c r="AG300" s="24"/>
      <c r="AH300" s="53"/>
      <c r="AI300" s="53"/>
      <c r="AJ300" s="53"/>
      <c r="AK300" s="53"/>
      <c r="AL300" s="53"/>
      <c r="AM300" s="1"/>
      <c r="AN300" s="1"/>
    </row>
    <row r="301" spans="2:40" ht="12.75">
      <c r="B301" s="122">
        <f t="shared" si="125"/>
        <v>39225.10831986594</v>
      </c>
      <c r="C301">
        <v>0</v>
      </c>
      <c r="D301" s="2">
        <v>0</v>
      </c>
      <c r="E301">
        <v>0.6</v>
      </c>
      <c r="F301">
        <f t="shared" si="133"/>
        <v>164.29999999999913</v>
      </c>
      <c r="G301" s="1">
        <f t="shared" si="126"/>
        <v>679.1136</v>
      </c>
      <c r="H301" s="1">
        <f t="shared" si="131"/>
        <v>0</v>
      </c>
      <c r="I301">
        <v>60</v>
      </c>
      <c r="J301" s="64">
        <f t="shared" si="134"/>
        <v>58.70106974159404</v>
      </c>
      <c r="K301" s="117">
        <f t="shared" si="132"/>
        <v>0.00042588661688878305</v>
      </c>
      <c r="L301" s="1">
        <f t="shared" si="135"/>
        <v>110185.38552146597</v>
      </c>
      <c r="M301" s="1">
        <f t="shared" si="127"/>
        <v>21464.685491194672</v>
      </c>
      <c r="N301" s="1">
        <f t="shared" si="144"/>
        <v>21000</v>
      </c>
      <c r="O301" s="74">
        <f t="shared" si="136"/>
        <v>1.0221278805330796</v>
      </c>
      <c r="P301" s="84">
        <f t="shared" si="137"/>
        <v>8</v>
      </c>
      <c r="Q301" s="1">
        <f t="shared" si="138"/>
        <v>11.998759189577818</v>
      </c>
      <c r="R301" s="1">
        <f t="shared" si="139"/>
        <v>2479.1088180948614</v>
      </c>
      <c r="S301" s="1">
        <f t="shared" si="140"/>
        <v>19.997931982629698</v>
      </c>
      <c r="T301" s="60">
        <f t="shared" si="128"/>
        <v>23.997518379155636</v>
      </c>
      <c r="U301" s="101">
        <f t="shared" si="141"/>
        <v>21459.581151832463</v>
      </c>
      <c r="V301" s="102">
        <f t="shared" si="129"/>
        <v>8199.20436963351</v>
      </c>
      <c r="W301" s="102">
        <f t="shared" si="142"/>
        <v>17022.6</v>
      </c>
      <c r="X301" s="102">
        <f t="shared" si="143"/>
        <v>0</v>
      </c>
      <c r="Y301" s="103">
        <f t="shared" si="130"/>
        <v>63504</v>
      </c>
      <c r="AB301" s="76"/>
      <c r="AC301" s="76"/>
      <c r="AD301" s="76"/>
      <c r="AE301" s="77"/>
      <c r="AF301" s="78"/>
      <c r="AG301" s="24"/>
      <c r="AH301" s="53"/>
      <c r="AI301" s="53"/>
      <c r="AJ301" s="53"/>
      <c r="AK301" s="53"/>
      <c r="AL301" s="53"/>
      <c r="AM301" s="1"/>
      <c r="AN301" s="1"/>
    </row>
    <row r="302" spans="2:40" ht="12.75">
      <c r="B302" s="122">
        <f t="shared" si="125"/>
        <v>39225.10873653261</v>
      </c>
      <c r="C302">
        <v>0</v>
      </c>
      <c r="D302" s="2">
        <v>0</v>
      </c>
      <c r="E302">
        <v>0.6</v>
      </c>
      <c r="F302">
        <f t="shared" si="133"/>
        <v>164.89999999999912</v>
      </c>
      <c r="G302" s="1">
        <f t="shared" si="126"/>
        <v>679.1136</v>
      </c>
      <c r="H302" s="1">
        <f t="shared" si="131"/>
        <v>0</v>
      </c>
      <c r="I302">
        <v>60</v>
      </c>
      <c r="J302" s="64">
        <f t="shared" si="134"/>
        <v>60.000000000000014</v>
      </c>
      <c r="K302" s="117">
        <f t="shared" si="132"/>
        <v>0.00041666666666666653</v>
      </c>
      <c r="L302" s="1">
        <f t="shared" si="135"/>
        <v>46681.38552146597</v>
      </c>
      <c r="M302" s="1">
        <f t="shared" si="127"/>
        <v>9093.77640028558</v>
      </c>
      <c r="N302" s="1">
        <f t="shared" si="144"/>
        <v>21000</v>
      </c>
      <c r="O302" s="74">
        <f t="shared" si="136"/>
        <v>0.43303697144217046</v>
      </c>
      <c r="P302" s="84">
        <f t="shared" si="137"/>
        <v>4</v>
      </c>
      <c r="Q302" s="1">
        <f t="shared" si="138"/>
        <v>5.869499999999999</v>
      </c>
      <c r="R302" s="1">
        <f t="shared" si="139"/>
        <v>2484.978318094861</v>
      </c>
      <c r="S302" s="1">
        <f t="shared" si="140"/>
        <v>9.782499999999999</v>
      </c>
      <c r="T302" s="60">
        <f t="shared" si="128"/>
        <v>11.738999999999997</v>
      </c>
      <c r="U302" s="101">
        <f t="shared" si="141"/>
        <v>21459.581151832463</v>
      </c>
      <c r="V302" s="102">
        <f t="shared" si="129"/>
        <v>8199.20436963351</v>
      </c>
      <c r="W302" s="102">
        <f t="shared" si="142"/>
        <v>17022.6</v>
      </c>
      <c r="X302" s="102">
        <f t="shared" si="143"/>
        <v>0</v>
      </c>
      <c r="Y302" s="103">
        <f t="shared" si="130"/>
        <v>0</v>
      </c>
      <c r="AB302" s="76"/>
      <c r="AC302" s="76"/>
      <c r="AD302" s="76"/>
      <c r="AE302" s="77"/>
      <c r="AF302" s="78"/>
      <c r="AG302" s="24"/>
      <c r="AH302" s="53"/>
      <c r="AI302" s="53"/>
      <c r="AJ302" s="53"/>
      <c r="AK302" s="53"/>
      <c r="AL302" s="53"/>
      <c r="AM302" s="1"/>
      <c r="AN302" s="1"/>
    </row>
    <row r="303" spans="2:40" ht="12.75">
      <c r="B303" s="122">
        <f t="shared" si="125"/>
        <v>39225.10915319928</v>
      </c>
      <c r="C303">
        <v>0</v>
      </c>
      <c r="D303" s="2">
        <v>-0.008</v>
      </c>
      <c r="E303">
        <v>0.6</v>
      </c>
      <c r="F303">
        <f t="shared" si="133"/>
        <v>165.49999999999912</v>
      </c>
      <c r="G303" s="1">
        <f t="shared" si="126"/>
        <v>653.7696</v>
      </c>
      <c r="H303" s="1">
        <f t="shared" si="131"/>
        <v>0</v>
      </c>
      <c r="I303">
        <v>60</v>
      </c>
      <c r="J303" s="64">
        <f t="shared" si="134"/>
        <v>60</v>
      </c>
      <c r="K303" s="117">
        <f t="shared" si="132"/>
        <v>0.0004166666666666667</v>
      </c>
      <c r="L303" s="1">
        <f t="shared" si="135"/>
        <v>-44252.53447853403</v>
      </c>
      <c r="M303" s="1">
        <f t="shared" si="127"/>
        <v>-8620.623599714421</v>
      </c>
      <c r="N303" s="1">
        <f t="shared" si="144"/>
        <v>21000</v>
      </c>
      <c r="O303" s="74">
        <f t="shared" si="136"/>
        <v>-0.41050588570068675</v>
      </c>
      <c r="P303" s="84">
        <f t="shared" si="137"/>
        <v>1</v>
      </c>
      <c r="Q303" s="1">
        <f t="shared" si="138"/>
        <v>1.467375</v>
      </c>
      <c r="R303" s="1">
        <f t="shared" si="139"/>
        <v>2486.4456930948613</v>
      </c>
      <c r="S303" s="1">
        <f t="shared" si="140"/>
        <v>2.445625</v>
      </c>
      <c r="T303" s="60">
        <f t="shared" si="128"/>
        <v>2.93475</v>
      </c>
      <c r="U303" s="101">
        <f t="shared" si="141"/>
        <v>21459.581151832463</v>
      </c>
      <c r="V303" s="102">
        <f t="shared" si="129"/>
        <v>8199.20436963351</v>
      </c>
      <c r="W303" s="102">
        <f t="shared" si="142"/>
        <v>17022.6</v>
      </c>
      <c r="X303" s="102">
        <f t="shared" si="143"/>
        <v>-90933.92</v>
      </c>
      <c r="Y303" s="103">
        <f t="shared" si="130"/>
        <v>0</v>
      </c>
      <c r="AB303" s="76"/>
      <c r="AC303" s="76"/>
      <c r="AD303" s="76"/>
      <c r="AE303" s="77"/>
      <c r="AF303" s="78"/>
      <c r="AG303" s="24"/>
      <c r="AH303" s="53"/>
      <c r="AI303" s="53"/>
      <c r="AJ303" s="53"/>
      <c r="AK303" s="53"/>
      <c r="AL303" s="53"/>
      <c r="AM303" s="1"/>
      <c r="AN303" s="1"/>
    </row>
    <row r="304" spans="2:40" ht="12.75">
      <c r="B304" s="122">
        <f t="shared" si="125"/>
        <v>39225.10956986595</v>
      </c>
      <c r="C304">
        <v>0</v>
      </c>
      <c r="D304" s="2">
        <v>-0.007</v>
      </c>
      <c r="E304">
        <v>0.6</v>
      </c>
      <c r="F304">
        <f t="shared" si="133"/>
        <v>166.0999999999991</v>
      </c>
      <c r="G304" s="1">
        <f t="shared" si="126"/>
        <v>631.5935999999999</v>
      </c>
      <c r="H304" s="1">
        <f t="shared" si="131"/>
        <v>0</v>
      </c>
      <c r="I304">
        <v>60</v>
      </c>
      <c r="J304" s="64">
        <f t="shared" si="134"/>
        <v>60</v>
      </c>
      <c r="K304" s="117">
        <f t="shared" si="132"/>
        <v>0.0004166666666666667</v>
      </c>
      <c r="L304" s="1">
        <f t="shared" si="135"/>
        <v>-32885.79447853404</v>
      </c>
      <c r="M304" s="1">
        <f t="shared" si="127"/>
        <v>-6406.323599714423</v>
      </c>
      <c r="N304" s="1">
        <f t="shared" si="144"/>
        <v>21000</v>
      </c>
      <c r="O304" s="74">
        <f t="shared" si="136"/>
        <v>-0.3050630285578297</v>
      </c>
      <c r="P304" s="84">
        <f t="shared" si="137"/>
        <v>1</v>
      </c>
      <c r="Q304" s="1">
        <f t="shared" si="138"/>
        <v>1.467375</v>
      </c>
      <c r="R304" s="1">
        <f t="shared" si="139"/>
        <v>2487.9130680948615</v>
      </c>
      <c r="S304" s="1">
        <f t="shared" si="140"/>
        <v>2.445625</v>
      </c>
      <c r="T304" s="60">
        <f t="shared" si="128"/>
        <v>2.93475</v>
      </c>
      <c r="U304" s="101">
        <f t="shared" si="141"/>
        <v>21459.581151832463</v>
      </c>
      <c r="V304" s="102">
        <f t="shared" si="129"/>
        <v>8199.20436963351</v>
      </c>
      <c r="W304" s="102">
        <f t="shared" si="142"/>
        <v>17022.6</v>
      </c>
      <c r="X304" s="102">
        <f t="shared" si="143"/>
        <v>-79567.18000000001</v>
      </c>
      <c r="Y304" s="103">
        <f t="shared" si="130"/>
        <v>0</v>
      </c>
      <c r="AB304" s="76"/>
      <c r="AC304" s="76"/>
      <c r="AD304" s="76"/>
      <c r="AE304" s="77"/>
      <c r="AF304" s="78"/>
      <c r="AG304" s="24"/>
      <c r="AH304" s="53"/>
      <c r="AI304" s="53"/>
      <c r="AJ304" s="53"/>
      <c r="AK304" s="53"/>
      <c r="AL304" s="53"/>
      <c r="AM304" s="1"/>
      <c r="AN304" s="1"/>
    </row>
    <row r="305" spans="2:40" ht="12.75">
      <c r="B305" s="122">
        <f t="shared" si="125"/>
        <v>39225.10998653262</v>
      </c>
      <c r="C305">
        <v>0</v>
      </c>
      <c r="D305" s="2">
        <v>-0.006</v>
      </c>
      <c r="E305">
        <v>0.6</v>
      </c>
      <c r="F305">
        <f t="shared" si="133"/>
        <v>166.6999999999991</v>
      </c>
      <c r="G305" s="1">
        <f t="shared" si="126"/>
        <v>612.5855999999999</v>
      </c>
      <c r="H305" s="1">
        <f t="shared" si="131"/>
        <v>0</v>
      </c>
      <c r="I305">
        <v>60</v>
      </c>
      <c r="J305" s="64">
        <f t="shared" si="134"/>
        <v>60</v>
      </c>
      <c r="K305" s="117">
        <f t="shared" si="132"/>
        <v>0.0004166666666666667</v>
      </c>
      <c r="L305" s="1">
        <f t="shared" si="135"/>
        <v>-21519.05447853403</v>
      </c>
      <c r="M305" s="1">
        <f t="shared" si="127"/>
        <v>-4192.023599714422</v>
      </c>
      <c r="N305" s="1">
        <f t="shared" si="144"/>
        <v>21000</v>
      </c>
      <c r="O305" s="74">
        <f t="shared" si="136"/>
        <v>-0.19962017141497246</v>
      </c>
      <c r="P305" s="84">
        <f t="shared" si="137"/>
        <v>1</v>
      </c>
      <c r="Q305" s="1">
        <f t="shared" si="138"/>
        <v>1.467375</v>
      </c>
      <c r="R305" s="1">
        <f t="shared" si="139"/>
        <v>2489.3804430948617</v>
      </c>
      <c r="S305" s="1">
        <f t="shared" si="140"/>
        <v>2.445625</v>
      </c>
      <c r="T305" s="60">
        <f t="shared" si="128"/>
        <v>2.93475</v>
      </c>
      <c r="U305" s="101">
        <f t="shared" si="141"/>
        <v>21459.581151832463</v>
      </c>
      <c r="V305" s="102">
        <f t="shared" si="129"/>
        <v>8199.20436963351</v>
      </c>
      <c r="W305" s="102">
        <f t="shared" si="142"/>
        <v>17022.6</v>
      </c>
      <c r="X305" s="102">
        <f t="shared" si="143"/>
        <v>-68200.44</v>
      </c>
      <c r="Y305" s="103">
        <f t="shared" si="130"/>
        <v>0</v>
      </c>
      <c r="AB305" s="76"/>
      <c r="AC305" s="76"/>
      <c r="AD305" s="76"/>
      <c r="AE305" s="77"/>
      <c r="AF305" s="78"/>
      <c r="AG305" s="24"/>
      <c r="AH305" s="53"/>
      <c r="AI305" s="53"/>
      <c r="AJ305" s="53"/>
      <c r="AK305" s="53"/>
      <c r="AL305" s="53"/>
      <c r="AM305" s="1"/>
      <c r="AN305" s="1"/>
    </row>
    <row r="306" spans="2:40" ht="12.75">
      <c r="B306" s="122">
        <f t="shared" si="125"/>
        <v>39225.1104124275</v>
      </c>
      <c r="C306">
        <v>4</v>
      </c>
      <c r="D306" s="2">
        <v>0</v>
      </c>
      <c r="E306">
        <v>0.6</v>
      </c>
      <c r="F306">
        <f t="shared" si="133"/>
        <v>167.2999999999991</v>
      </c>
      <c r="G306" s="1">
        <f t="shared" si="126"/>
        <v>612.5855999999999</v>
      </c>
      <c r="H306" s="1">
        <f t="shared" si="131"/>
        <v>0</v>
      </c>
      <c r="I306">
        <v>60</v>
      </c>
      <c r="J306" s="64">
        <f t="shared" si="134"/>
        <v>58.69993010869359</v>
      </c>
      <c r="K306" s="117">
        <f t="shared" si="132"/>
        <v>0.0004258948852870515</v>
      </c>
      <c r="L306" s="1">
        <f t="shared" si="135"/>
        <v>110187.52472146598</v>
      </c>
      <c r="M306" s="1">
        <f t="shared" si="127"/>
        <v>21465.102218467397</v>
      </c>
      <c r="N306" s="1">
        <f t="shared" si="144"/>
        <v>21000</v>
      </c>
      <c r="O306" s="74">
        <f t="shared" si="136"/>
        <v>1.0221477246889237</v>
      </c>
      <c r="P306" s="84">
        <f t="shared" si="137"/>
        <v>8</v>
      </c>
      <c r="Q306" s="1">
        <f t="shared" si="138"/>
        <v>11.998992140123276</v>
      </c>
      <c r="R306" s="1">
        <f t="shared" si="139"/>
        <v>2501.379435234985</v>
      </c>
      <c r="S306" s="1">
        <f t="shared" si="140"/>
        <v>19.998320233538795</v>
      </c>
      <c r="T306" s="60">
        <f t="shared" si="128"/>
        <v>23.997984280246552</v>
      </c>
      <c r="U306" s="101">
        <f t="shared" si="141"/>
        <v>21459.581151832463</v>
      </c>
      <c r="V306" s="102">
        <f t="shared" si="129"/>
        <v>8199.20436963351</v>
      </c>
      <c r="W306" s="102">
        <f t="shared" si="142"/>
        <v>17022.6</v>
      </c>
      <c r="X306" s="102">
        <f t="shared" si="143"/>
        <v>0</v>
      </c>
      <c r="Y306" s="103">
        <f t="shared" si="130"/>
        <v>63506.1392</v>
      </c>
      <c r="AB306" s="76"/>
      <c r="AC306" s="76"/>
      <c r="AD306" s="76"/>
      <c r="AE306" s="77"/>
      <c r="AF306" s="78"/>
      <c r="AG306" s="24"/>
      <c r="AH306" s="53"/>
      <c r="AI306" s="53"/>
      <c r="AJ306" s="53"/>
      <c r="AK306" s="53"/>
      <c r="AL306" s="53"/>
      <c r="AM306" s="1"/>
      <c r="AN306" s="1"/>
    </row>
    <row r="307" spans="2:40" ht="12.75">
      <c r="B307" s="122">
        <f t="shared" si="125"/>
        <v>39225.11083831412</v>
      </c>
      <c r="C307">
        <v>0</v>
      </c>
      <c r="D307" s="2">
        <v>0</v>
      </c>
      <c r="E307">
        <v>0.6</v>
      </c>
      <c r="F307">
        <f t="shared" si="133"/>
        <v>167.8999999999991</v>
      </c>
      <c r="G307" s="1">
        <f t="shared" si="126"/>
        <v>612.5855999999999</v>
      </c>
      <c r="H307" s="1">
        <f t="shared" si="131"/>
        <v>0</v>
      </c>
      <c r="I307">
        <v>60</v>
      </c>
      <c r="J307" s="64">
        <f t="shared" si="134"/>
        <v>58.70106974159404</v>
      </c>
      <c r="K307" s="117">
        <f t="shared" si="132"/>
        <v>0.00042588661688878305</v>
      </c>
      <c r="L307" s="1">
        <f t="shared" si="135"/>
        <v>110185.38552146597</v>
      </c>
      <c r="M307" s="1">
        <f t="shared" si="127"/>
        <v>21464.685491194672</v>
      </c>
      <c r="N307" s="1">
        <f t="shared" si="144"/>
        <v>21000</v>
      </c>
      <c r="O307" s="74">
        <f t="shared" si="136"/>
        <v>1.0221278805330796</v>
      </c>
      <c r="P307" s="84">
        <f t="shared" si="137"/>
        <v>8</v>
      </c>
      <c r="Q307" s="1">
        <f t="shared" si="138"/>
        <v>11.998759189577818</v>
      </c>
      <c r="R307" s="1">
        <f t="shared" si="139"/>
        <v>2513.378194424563</v>
      </c>
      <c r="S307" s="1">
        <f t="shared" si="140"/>
        <v>19.997931982629698</v>
      </c>
      <c r="T307" s="60">
        <f t="shared" si="128"/>
        <v>23.997518379155636</v>
      </c>
      <c r="U307" s="101">
        <f t="shared" si="141"/>
        <v>21459.581151832463</v>
      </c>
      <c r="V307" s="102">
        <f t="shared" si="129"/>
        <v>8199.20436963351</v>
      </c>
      <c r="W307" s="102">
        <f t="shared" si="142"/>
        <v>17022.6</v>
      </c>
      <c r="X307" s="102">
        <f t="shared" si="143"/>
        <v>0</v>
      </c>
      <c r="Y307" s="103">
        <f t="shared" si="130"/>
        <v>63504</v>
      </c>
      <c r="AB307" s="76"/>
      <c r="AC307" s="76"/>
      <c r="AD307" s="76"/>
      <c r="AE307" s="77"/>
      <c r="AF307" s="78"/>
      <c r="AG307" s="24"/>
      <c r="AH307" s="53"/>
      <c r="AI307" s="53"/>
      <c r="AJ307" s="53"/>
      <c r="AK307" s="53"/>
      <c r="AL307" s="53"/>
      <c r="AM307" s="1"/>
      <c r="AN307" s="1"/>
    </row>
    <row r="308" spans="2:40" ht="12.75">
      <c r="B308" s="122">
        <f t="shared" si="125"/>
        <v>39225.11125498079</v>
      </c>
      <c r="C308">
        <v>0</v>
      </c>
      <c r="D308" s="2">
        <v>0</v>
      </c>
      <c r="E308">
        <v>0.6</v>
      </c>
      <c r="F308">
        <f t="shared" si="133"/>
        <v>168.4999999999991</v>
      </c>
      <c r="G308" s="1">
        <f t="shared" si="126"/>
        <v>612.5855999999999</v>
      </c>
      <c r="H308" s="1">
        <f t="shared" si="131"/>
        <v>0</v>
      </c>
      <c r="I308">
        <v>60</v>
      </c>
      <c r="J308" s="64">
        <f t="shared" si="134"/>
        <v>60.000000000000014</v>
      </c>
      <c r="K308" s="117">
        <f t="shared" si="132"/>
        <v>0.00041666666666666653</v>
      </c>
      <c r="L308" s="1">
        <f t="shared" si="135"/>
        <v>46681.38552146597</v>
      </c>
      <c r="M308" s="1">
        <f t="shared" si="127"/>
        <v>9093.77640028558</v>
      </c>
      <c r="N308" s="1">
        <f t="shared" si="144"/>
        <v>21000</v>
      </c>
      <c r="O308" s="74">
        <f t="shared" si="136"/>
        <v>0.43303697144217046</v>
      </c>
      <c r="P308" s="84">
        <f t="shared" si="137"/>
        <v>4</v>
      </c>
      <c r="Q308" s="1">
        <f t="shared" si="138"/>
        <v>5.869499999999999</v>
      </c>
      <c r="R308" s="1">
        <f t="shared" si="139"/>
        <v>2519.2476944245627</v>
      </c>
      <c r="S308" s="1">
        <f t="shared" si="140"/>
        <v>9.782499999999999</v>
      </c>
      <c r="T308" s="60">
        <f t="shared" si="128"/>
        <v>11.738999999999997</v>
      </c>
      <c r="U308" s="101">
        <f t="shared" si="141"/>
        <v>21459.581151832463</v>
      </c>
      <c r="V308" s="102">
        <f t="shared" si="129"/>
        <v>8199.20436963351</v>
      </c>
      <c r="W308" s="102">
        <f t="shared" si="142"/>
        <v>17022.6</v>
      </c>
      <c r="X308" s="102">
        <f t="shared" si="143"/>
        <v>0</v>
      </c>
      <c r="Y308" s="103">
        <f t="shared" si="130"/>
        <v>0</v>
      </c>
      <c r="AB308" s="76"/>
      <c r="AC308" s="76"/>
      <c r="AD308" s="76"/>
      <c r="AE308" s="77"/>
      <c r="AF308" s="78"/>
      <c r="AG308" s="24"/>
      <c r="AH308" s="53"/>
      <c r="AI308" s="53"/>
      <c r="AJ308" s="53"/>
      <c r="AK308" s="53"/>
      <c r="AL308" s="53"/>
      <c r="AM308" s="1"/>
      <c r="AN308" s="1"/>
    </row>
    <row r="309" spans="2:40" ht="12.75">
      <c r="B309" s="122">
        <f t="shared" si="125"/>
        <v>39225.11167164746</v>
      </c>
      <c r="C309">
        <v>0</v>
      </c>
      <c r="D309" s="2">
        <v>-0.003</v>
      </c>
      <c r="E309">
        <v>0.6</v>
      </c>
      <c r="F309">
        <f t="shared" si="133"/>
        <v>169.09999999999908</v>
      </c>
      <c r="G309" s="1">
        <f t="shared" si="126"/>
        <v>603.0815999999999</v>
      </c>
      <c r="H309" s="1">
        <f>IF(G309-G308&gt;0,G309-G308,0)</f>
        <v>0</v>
      </c>
      <c r="I309">
        <v>60</v>
      </c>
      <c r="J309" s="64">
        <f t="shared" si="134"/>
        <v>59.99999999999999</v>
      </c>
      <c r="K309" s="117">
        <f t="shared" si="132"/>
        <v>0.0004166666666666667</v>
      </c>
      <c r="L309" s="1">
        <f t="shared" si="135"/>
        <v>12581.16552146597</v>
      </c>
      <c r="M309" s="1">
        <f t="shared" si="127"/>
        <v>2450.8764002855783</v>
      </c>
      <c r="N309" s="1">
        <f t="shared" si="144"/>
        <v>21000</v>
      </c>
      <c r="O309" s="74">
        <f t="shared" si="136"/>
        <v>0.11670840001359896</v>
      </c>
      <c r="P309" s="84">
        <f t="shared" si="137"/>
        <v>1</v>
      </c>
      <c r="Q309" s="1">
        <f t="shared" si="138"/>
        <v>1.467375</v>
      </c>
      <c r="R309" s="1">
        <f t="shared" si="139"/>
        <v>2520.715069424563</v>
      </c>
      <c r="S309" s="1">
        <f t="shared" si="140"/>
        <v>2.445625</v>
      </c>
      <c r="T309" s="60">
        <f t="shared" si="128"/>
        <v>2.93475</v>
      </c>
      <c r="U309" s="101">
        <f t="shared" si="141"/>
        <v>21459.581151832463</v>
      </c>
      <c r="V309" s="102">
        <f t="shared" si="129"/>
        <v>8199.20436963351</v>
      </c>
      <c r="W309" s="102">
        <f t="shared" si="142"/>
        <v>17022.6</v>
      </c>
      <c r="X309" s="102">
        <f t="shared" si="143"/>
        <v>-34100.22</v>
      </c>
      <c r="Y309" s="103">
        <f t="shared" si="130"/>
        <v>0</v>
      </c>
      <c r="AB309" s="76"/>
      <c r="AC309" s="76"/>
      <c r="AD309" s="76"/>
      <c r="AE309" s="77"/>
      <c r="AF309" s="78"/>
      <c r="AG309" s="24"/>
      <c r="AH309" s="53"/>
      <c r="AI309" s="53"/>
      <c r="AJ309" s="53"/>
      <c r="AK309" s="53"/>
      <c r="AL309" s="53"/>
      <c r="AM309" s="1"/>
      <c r="AN309" s="1"/>
    </row>
    <row r="310" spans="2:40" ht="12.75">
      <c r="B310" s="122">
        <f t="shared" si="125"/>
        <v>39225.11208831413</v>
      </c>
      <c r="C310">
        <v>0</v>
      </c>
      <c r="D310" s="2">
        <v>-0.004</v>
      </c>
      <c r="E310">
        <v>0.6</v>
      </c>
      <c r="F310">
        <f t="shared" si="133"/>
        <v>169.69999999999908</v>
      </c>
      <c r="G310" s="1">
        <f t="shared" si="126"/>
        <v>590.4095999999998</v>
      </c>
      <c r="H310" s="1">
        <f aca="true" t="shared" si="145" ref="H310:H338">IF(G310-G309&gt;0,G310-G309,0)</f>
        <v>0</v>
      </c>
      <c r="I310">
        <v>60</v>
      </c>
      <c r="J310" s="64">
        <f t="shared" si="134"/>
        <v>60</v>
      </c>
      <c r="K310" s="117">
        <f t="shared" si="132"/>
        <v>0.0004166666666666667</v>
      </c>
      <c r="L310" s="1">
        <f t="shared" si="135"/>
        <v>1214.4255214659715</v>
      </c>
      <c r="M310" s="1">
        <f t="shared" si="127"/>
        <v>236.57640028557887</v>
      </c>
      <c r="N310" s="1">
        <f t="shared" si="144"/>
        <v>21000</v>
      </c>
      <c r="O310" s="74">
        <f t="shared" si="136"/>
        <v>0.011265542870741852</v>
      </c>
      <c r="P310" s="84">
        <f t="shared" si="137"/>
        <v>1</v>
      </c>
      <c r="Q310" s="1">
        <f t="shared" si="138"/>
        <v>1.467375</v>
      </c>
      <c r="R310" s="1">
        <f t="shared" si="139"/>
        <v>2522.182444424563</v>
      </c>
      <c r="S310" s="1">
        <f t="shared" si="140"/>
        <v>2.445625</v>
      </c>
      <c r="T310" s="60">
        <f t="shared" si="128"/>
        <v>2.93475</v>
      </c>
      <c r="U310" s="101">
        <f t="shared" si="141"/>
        <v>21459.581151832463</v>
      </c>
      <c r="V310" s="102">
        <f t="shared" si="129"/>
        <v>8199.20436963351</v>
      </c>
      <c r="W310" s="102">
        <f t="shared" si="142"/>
        <v>17022.6</v>
      </c>
      <c r="X310" s="102">
        <f t="shared" si="143"/>
        <v>-45466.96</v>
      </c>
      <c r="Y310" s="103">
        <f t="shared" si="130"/>
        <v>0</v>
      </c>
      <c r="AB310" s="76"/>
      <c r="AC310" s="76"/>
      <c r="AD310" s="76"/>
      <c r="AE310" s="77"/>
      <c r="AF310" s="78"/>
      <c r="AG310" s="24"/>
      <c r="AH310" s="53"/>
      <c r="AI310" s="53"/>
      <c r="AJ310" s="53"/>
      <c r="AK310" s="53"/>
      <c r="AL310" s="53"/>
      <c r="AM310" s="1"/>
      <c r="AN310" s="1"/>
    </row>
    <row r="311" spans="2:40" ht="12.75">
      <c r="B311" s="122">
        <f t="shared" si="125"/>
        <v>39225.112504980796</v>
      </c>
      <c r="C311">
        <v>3</v>
      </c>
      <c r="D311" s="2">
        <v>-0.004</v>
      </c>
      <c r="E311">
        <v>0.6</v>
      </c>
      <c r="F311">
        <f t="shared" si="133"/>
        <v>170.29999999999907</v>
      </c>
      <c r="G311" s="1">
        <f t="shared" si="126"/>
        <v>577.7375999999998</v>
      </c>
      <c r="H311" s="1">
        <f t="shared" si="145"/>
        <v>0</v>
      </c>
      <c r="I311">
        <v>60</v>
      </c>
      <c r="J311" s="64">
        <f t="shared" si="134"/>
        <v>60</v>
      </c>
      <c r="K311" s="117">
        <f t="shared" si="132"/>
        <v>0.0004166666666666667</v>
      </c>
      <c r="L311" s="1">
        <f t="shared" si="135"/>
        <v>48844.02992146597</v>
      </c>
      <c r="M311" s="1">
        <f t="shared" si="127"/>
        <v>9515.070763921942</v>
      </c>
      <c r="N311" s="1">
        <f t="shared" si="144"/>
        <v>21000</v>
      </c>
      <c r="O311" s="74">
        <f t="shared" si="136"/>
        <v>0.45309860780580674</v>
      </c>
      <c r="P311" s="84">
        <f t="shared" si="137"/>
        <v>4</v>
      </c>
      <c r="Q311" s="1">
        <f t="shared" si="138"/>
        <v>5.8695</v>
      </c>
      <c r="R311" s="1">
        <f t="shared" si="139"/>
        <v>2528.051944424563</v>
      </c>
      <c r="S311" s="1">
        <f t="shared" si="140"/>
        <v>9.7825</v>
      </c>
      <c r="T311" s="60">
        <f t="shared" si="128"/>
        <v>11.739</v>
      </c>
      <c r="U311" s="101">
        <f t="shared" si="141"/>
        <v>21459.581151832463</v>
      </c>
      <c r="V311" s="102">
        <f t="shared" si="129"/>
        <v>8199.20436963351</v>
      </c>
      <c r="W311" s="102">
        <f t="shared" si="142"/>
        <v>17022.6</v>
      </c>
      <c r="X311" s="102">
        <f t="shared" si="143"/>
        <v>-45466.96</v>
      </c>
      <c r="Y311" s="103">
        <f t="shared" si="130"/>
        <v>47629.6044</v>
      </c>
      <c r="AB311" s="76"/>
      <c r="AC311" s="76"/>
      <c r="AD311" s="76"/>
      <c r="AE311" s="77"/>
      <c r="AF311" s="78"/>
      <c r="AG311" s="24"/>
      <c r="AH311" s="53"/>
      <c r="AI311" s="53"/>
      <c r="AJ311" s="53"/>
      <c r="AK311" s="53"/>
      <c r="AL311" s="53"/>
      <c r="AM311" s="1"/>
      <c r="AN311" s="1"/>
    </row>
    <row r="312" spans="2:40" ht="12.75">
      <c r="B312" s="122">
        <f t="shared" si="125"/>
        <v>39225.112921647466</v>
      </c>
      <c r="C312">
        <v>0</v>
      </c>
      <c r="D312" s="2">
        <v>-0.003</v>
      </c>
      <c r="E312">
        <v>0.6</v>
      </c>
      <c r="F312">
        <f t="shared" si="133"/>
        <v>170.89999999999907</v>
      </c>
      <c r="G312" s="1">
        <f t="shared" si="126"/>
        <v>568.2335999999998</v>
      </c>
      <c r="H312" s="1">
        <f t="shared" si="145"/>
        <v>0</v>
      </c>
      <c r="I312">
        <v>60</v>
      </c>
      <c r="J312" s="64">
        <f t="shared" si="134"/>
        <v>60</v>
      </c>
      <c r="K312" s="117">
        <f t="shared" si="132"/>
        <v>0.0004166666666666667</v>
      </c>
      <c r="L312" s="1">
        <f t="shared" si="135"/>
        <v>60209.16552146597</v>
      </c>
      <c r="M312" s="1">
        <f t="shared" si="127"/>
        <v>11729.058218467397</v>
      </c>
      <c r="N312" s="1">
        <f t="shared" si="144"/>
        <v>21000</v>
      </c>
      <c r="O312" s="74">
        <f t="shared" si="136"/>
        <v>0.5585265818317808</v>
      </c>
      <c r="P312" s="84">
        <f t="shared" si="137"/>
        <v>4</v>
      </c>
      <c r="Q312" s="1">
        <f t="shared" si="138"/>
        <v>5.8695</v>
      </c>
      <c r="R312" s="1">
        <f t="shared" si="139"/>
        <v>2533.9214444245627</v>
      </c>
      <c r="S312" s="1">
        <f t="shared" si="140"/>
        <v>9.7825</v>
      </c>
      <c r="T312" s="60">
        <f t="shared" si="128"/>
        <v>11.739</v>
      </c>
      <c r="U312" s="101">
        <f t="shared" si="141"/>
        <v>21459.581151832463</v>
      </c>
      <c r="V312" s="102">
        <f t="shared" si="129"/>
        <v>8199.20436963351</v>
      </c>
      <c r="W312" s="102">
        <f t="shared" si="142"/>
        <v>17022.6</v>
      </c>
      <c r="X312" s="102">
        <f t="shared" si="143"/>
        <v>-34100.22</v>
      </c>
      <c r="Y312" s="103">
        <f t="shared" si="130"/>
        <v>47628</v>
      </c>
      <c r="AB312" s="76"/>
      <c r="AC312" s="76"/>
      <c r="AD312" s="76"/>
      <c r="AE312" s="77"/>
      <c r="AF312" s="78"/>
      <c r="AG312" s="24"/>
      <c r="AH312" s="53"/>
      <c r="AI312" s="53"/>
      <c r="AJ312" s="53"/>
      <c r="AK312" s="53"/>
      <c r="AL312" s="53"/>
      <c r="AM312" s="1"/>
      <c r="AN312" s="1"/>
    </row>
    <row r="313" spans="2:40" ht="12.75">
      <c r="B313" s="122">
        <f t="shared" si="125"/>
        <v>39225.113338314135</v>
      </c>
      <c r="C313">
        <v>0</v>
      </c>
      <c r="D313" s="2">
        <v>-0.004</v>
      </c>
      <c r="E313">
        <v>0.6</v>
      </c>
      <c r="F313">
        <f t="shared" si="133"/>
        <v>171.49999999999906</v>
      </c>
      <c r="G313" s="1">
        <f t="shared" si="126"/>
        <v>555.5615999999998</v>
      </c>
      <c r="H313" s="1">
        <f t="shared" si="145"/>
        <v>0</v>
      </c>
      <c r="I313">
        <v>60</v>
      </c>
      <c r="J313" s="64">
        <f t="shared" si="134"/>
        <v>60</v>
      </c>
      <c r="K313" s="117">
        <f t="shared" si="132"/>
        <v>0.0004166666666666667</v>
      </c>
      <c r="L313" s="1">
        <f t="shared" si="135"/>
        <v>1214.4255214659715</v>
      </c>
      <c r="M313" s="1">
        <f t="shared" si="127"/>
        <v>236.57640028557887</v>
      </c>
      <c r="N313" s="1">
        <f t="shared" si="144"/>
        <v>21000</v>
      </c>
      <c r="O313" s="74">
        <f t="shared" si="136"/>
        <v>0.011265542870741852</v>
      </c>
      <c r="P313" s="84">
        <f t="shared" si="137"/>
        <v>1</v>
      </c>
      <c r="Q313" s="1">
        <f t="shared" si="138"/>
        <v>1.467375</v>
      </c>
      <c r="R313" s="1">
        <f t="shared" si="139"/>
        <v>2535.388819424563</v>
      </c>
      <c r="S313" s="1">
        <f t="shared" si="140"/>
        <v>2.445625</v>
      </c>
      <c r="T313" s="60">
        <f t="shared" si="128"/>
        <v>2.93475</v>
      </c>
      <c r="U313" s="101">
        <f t="shared" si="141"/>
        <v>21459.581151832463</v>
      </c>
      <c r="V313" s="102">
        <f t="shared" si="129"/>
        <v>8199.20436963351</v>
      </c>
      <c r="W313" s="102">
        <f t="shared" si="142"/>
        <v>17022.6</v>
      </c>
      <c r="X313" s="102">
        <f t="shared" si="143"/>
        <v>-45466.96</v>
      </c>
      <c r="Y313" s="103">
        <f t="shared" si="130"/>
        <v>0</v>
      </c>
      <c r="AB313" s="76"/>
      <c r="AC313" s="76"/>
      <c r="AD313" s="76"/>
      <c r="AE313" s="77"/>
      <c r="AF313" s="78"/>
      <c r="AG313" s="24"/>
      <c r="AH313" s="53"/>
      <c r="AI313" s="53"/>
      <c r="AJ313" s="53"/>
      <c r="AK313" s="53"/>
      <c r="AL313" s="53"/>
      <c r="AM313" s="1"/>
      <c r="AN313" s="1"/>
    </row>
    <row r="314" spans="2:40" ht="12.75">
      <c r="B314" s="122">
        <f t="shared" si="125"/>
        <v>39225.113754980805</v>
      </c>
      <c r="C314">
        <v>0</v>
      </c>
      <c r="D314" s="2">
        <v>-0.003</v>
      </c>
      <c r="E314">
        <v>0.6</v>
      </c>
      <c r="F314">
        <f t="shared" si="133"/>
        <v>172.09999999999906</v>
      </c>
      <c r="G314" s="1">
        <f t="shared" si="126"/>
        <v>546.0575999999998</v>
      </c>
      <c r="H314" s="1">
        <f t="shared" si="145"/>
        <v>0</v>
      </c>
      <c r="I314">
        <v>60</v>
      </c>
      <c r="J314" s="64">
        <f t="shared" si="134"/>
        <v>59.99999999999999</v>
      </c>
      <c r="K314" s="117">
        <f t="shared" si="132"/>
        <v>0.0004166666666666667</v>
      </c>
      <c r="L314" s="1">
        <f t="shared" si="135"/>
        <v>12581.16552146597</v>
      </c>
      <c r="M314" s="1">
        <f t="shared" si="127"/>
        <v>2450.8764002855783</v>
      </c>
      <c r="N314" s="1">
        <f t="shared" si="144"/>
        <v>21000</v>
      </c>
      <c r="O314" s="74">
        <f t="shared" si="136"/>
        <v>0.11670840001359896</v>
      </c>
      <c r="P314" s="84">
        <f t="shared" si="137"/>
        <v>1</v>
      </c>
      <c r="Q314" s="1">
        <f t="shared" si="138"/>
        <v>1.467375</v>
      </c>
      <c r="R314" s="1">
        <f t="shared" si="139"/>
        <v>2536.856194424563</v>
      </c>
      <c r="S314" s="1">
        <f t="shared" si="140"/>
        <v>2.445625</v>
      </c>
      <c r="T314" s="60">
        <f t="shared" si="128"/>
        <v>2.93475</v>
      </c>
      <c r="U314" s="101">
        <f t="shared" si="141"/>
        <v>21459.581151832463</v>
      </c>
      <c r="V314" s="102">
        <f t="shared" si="129"/>
        <v>8199.20436963351</v>
      </c>
      <c r="W314" s="102">
        <f t="shared" si="142"/>
        <v>17022.6</v>
      </c>
      <c r="X314" s="102">
        <f t="shared" si="143"/>
        <v>-34100.22</v>
      </c>
      <c r="Y314" s="103">
        <f t="shared" si="130"/>
        <v>0</v>
      </c>
      <c r="AB314" s="76"/>
      <c r="AC314" s="76"/>
      <c r="AD314" s="76"/>
      <c r="AE314" s="77"/>
      <c r="AF314" s="78"/>
      <c r="AG314" s="24"/>
      <c r="AH314" s="53"/>
      <c r="AI314" s="53"/>
      <c r="AJ314" s="53"/>
      <c r="AK314" s="53"/>
      <c r="AL314" s="53"/>
      <c r="AM314" s="1"/>
      <c r="AN314" s="1"/>
    </row>
    <row r="315" spans="2:40" ht="12.75">
      <c r="B315" s="122">
        <f t="shared" si="125"/>
        <v>39225.114171647474</v>
      </c>
      <c r="C315">
        <v>0</v>
      </c>
      <c r="D315" s="2">
        <v>-0.004</v>
      </c>
      <c r="E315">
        <v>0.6</v>
      </c>
      <c r="F315">
        <f t="shared" si="133"/>
        <v>172.69999999999905</v>
      </c>
      <c r="G315" s="1">
        <f t="shared" si="126"/>
        <v>533.3855999999997</v>
      </c>
      <c r="H315" s="1">
        <f t="shared" si="145"/>
        <v>0</v>
      </c>
      <c r="I315">
        <v>60</v>
      </c>
      <c r="J315" s="64">
        <f t="shared" si="134"/>
        <v>60</v>
      </c>
      <c r="K315" s="117">
        <f t="shared" si="132"/>
        <v>0.0004166666666666667</v>
      </c>
      <c r="L315" s="1">
        <f t="shared" si="135"/>
        <v>1214.4255214659715</v>
      </c>
      <c r="M315" s="1">
        <f t="shared" si="127"/>
        <v>236.57640028557887</v>
      </c>
      <c r="N315" s="1">
        <f t="shared" si="144"/>
        <v>21000</v>
      </c>
      <c r="O315" s="74">
        <f t="shared" si="136"/>
        <v>0.011265542870741852</v>
      </c>
      <c r="P315" s="84">
        <f t="shared" si="137"/>
        <v>1</v>
      </c>
      <c r="Q315" s="1">
        <f t="shared" si="138"/>
        <v>1.467375</v>
      </c>
      <c r="R315" s="1">
        <f t="shared" si="139"/>
        <v>2538.323569424563</v>
      </c>
      <c r="S315" s="1">
        <f t="shared" si="140"/>
        <v>2.445625</v>
      </c>
      <c r="T315" s="60">
        <f t="shared" si="128"/>
        <v>2.93475</v>
      </c>
      <c r="U315" s="101">
        <f t="shared" si="141"/>
        <v>21459.581151832463</v>
      </c>
      <c r="V315" s="102">
        <f t="shared" si="129"/>
        <v>8199.20436963351</v>
      </c>
      <c r="W315" s="102">
        <f t="shared" si="142"/>
        <v>17022.6</v>
      </c>
      <c r="X315" s="102">
        <f t="shared" si="143"/>
        <v>-45466.96</v>
      </c>
      <c r="Y315" s="103">
        <f t="shared" si="130"/>
        <v>0</v>
      </c>
      <c r="AB315" s="76"/>
      <c r="AC315" s="76"/>
      <c r="AD315" s="76"/>
      <c r="AE315" s="77"/>
      <c r="AF315" s="78"/>
      <c r="AG315" s="24"/>
      <c r="AH315" s="53"/>
      <c r="AI315" s="53"/>
      <c r="AJ315" s="53"/>
      <c r="AK315" s="53"/>
      <c r="AL315" s="53"/>
      <c r="AM315" s="1"/>
      <c r="AN315" s="1"/>
    </row>
    <row r="316" spans="2:40" ht="12.75">
      <c r="B316" s="122">
        <f t="shared" si="125"/>
        <v>39225.11458831414</v>
      </c>
      <c r="C316">
        <v>0</v>
      </c>
      <c r="D316" s="2">
        <v>-0.004</v>
      </c>
      <c r="E316">
        <v>0.6</v>
      </c>
      <c r="F316">
        <f t="shared" si="133"/>
        <v>173.29999999999905</v>
      </c>
      <c r="G316" s="1">
        <f t="shared" si="126"/>
        <v>520.7135999999997</v>
      </c>
      <c r="H316" s="1">
        <f t="shared" si="145"/>
        <v>0</v>
      </c>
      <c r="I316">
        <v>60</v>
      </c>
      <c r="J316" s="64">
        <f t="shared" si="134"/>
        <v>60</v>
      </c>
      <c r="K316" s="117">
        <f t="shared" si="132"/>
        <v>0.0004166666666666667</v>
      </c>
      <c r="L316" s="1">
        <f t="shared" si="135"/>
        <v>1214.4255214659715</v>
      </c>
      <c r="M316" s="1">
        <f t="shared" si="127"/>
        <v>236.57640028557887</v>
      </c>
      <c r="N316" s="1">
        <f t="shared" si="144"/>
        <v>21000</v>
      </c>
      <c r="O316" s="74">
        <f t="shared" si="136"/>
        <v>0.011265542870741852</v>
      </c>
      <c r="P316" s="84">
        <f t="shared" si="137"/>
        <v>1</v>
      </c>
      <c r="Q316" s="1">
        <f t="shared" si="138"/>
        <v>1.467375</v>
      </c>
      <c r="R316" s="1">
        <f t="shared" si="139"/>
        <v>2539.7909444245633</v>
      </c>
      <c r="S316" s="1">
        <f t="shared" si="140"/>
        <v>2.445625</v>
      </c>
      <c r="T316" s="60">
        <f t="shared" si="128"/>
        <v>2.93475</v>
      </c>
      <c r="U316" s="101">
        <f t="shared" si="141"/>
        <v>21459.581151832463</v>
      </c>
      <c r="V316" s="102">
        <f t="shared" si="129"/>
        <v>8199.20436963351</v>
      </c>
      <c r="W316" s="102">
        <f t="shared" si="142"/>
        <v>17022.6</v>
      </c>
      <c r="X316" s="102">
        <f t="shared" si="143"/>
        <v>-45466.96</v>
      </c>
      <c r="Y316" s="103">
        <f t="shared" si="130"/>
        <v>0</v>
      </c>
      <c r="AB316" s="76"/>
      <c r="AC316" s="76"/>
      <c r="AD316" s="76"/>
      <c r="AE316" s="77"/>
      <c r="AF316" s="78"/>
      <c r="AG316" s="24"/>
      <c r="AH316" s="53"/>
      <c r="AI316" s="53"/>
      <c r="AJ316" s="53"/>
      <c r="AK316" s="53"/>
      <c r="AL316" s="53"/>
      <c r="AM316" s="1"/>
      <c r="AN316" s="1"/>
    </row>
    <row r="317" spans="2:40" ht="12.75">
      <c r="B317" s="122">
        <f t="shared" si="125"/>
        <v>39225.11500498081</v>
      </c>
      <c r="C317">
        <v>0</v>
      </c>
      <c r="D317" s="2">
        <v>-0.003</v>
      </c>
      <c r="E317">
        <v>0.6</v>
      </c>
      <c r="F317">
        <f t="shared" si="133"/>
        <v>173.89999999999904</v>
      </c>
      <c r="G317" s="1">
        <f t="shared" si="126"/>
        <v>511.2095999999997</v>
      </c>
      <c r="H317" s="1">
        <f t="shared" si="145"/>
        <v>0</v>
      </c>
      <c r="I317">
        <v>60</v>
      </c>
      <c r="J317" s="64">
        <f t="shared" si="134"/>
        <v>59.99999999999999</v>
      </c>
      <c r="K317" s="117">
        <f t="shared" si="132"/>
        <v>0.0004166666666666667</v>
      </c>
      <c r="L317" s="1">
        <f t="shared" si="135"/>
        <v>12581.16552146597</v>
      </c>
      <c r="M317" s="1">
        <f t="shared" si="127"/>
        <v>2450.8764002855783</v>
      </c>
      <c r="N317" s="1">
        <f t="shared" si="144"/>
        <v>21000</v>
      </c>
      <c r="O317" s="74">
        <f t="shared" si="136"/>
        <v>0.11670840001359896</v>
      </c>
      <c r="P317" s="84">
        <f t="shared" si="137"/>
        <v>1</v>
      </c>
      <c r="Q317" s="1">
        <f t="shared" si="138"/>
        <v>1.467375</v>
      </c>
      <c r="R317" s="1">
        <f t="shared" si="139"/>
        <v>2541.2583194245635</v>
      </c>
      <c r="S317" s="1">
        <f t="shared" si="140"/>
        <v>2.445625</v>
      </c>
      <c r="T317" s="60">
        <f t="shared" si="128"/>
        <v>2.93475</v>
      </c>
      <c r="U317" s="101">
        <f t="shared" si="141"/>
        <v>21459.581151832463</v>
      </c>
      <c r="V317" s="102">
        <f t="shared" si="129"/>
        <v>8199.20436963351</v>
      </c>
      <c r="W317" s="102">
        <f t="shared" si="142"/>
        <v>17022.6</v>
      </c>
      <c r="X317" s="102">
        <f t="shared" si="143"/>
        <v>-34100.22</v>
      </c>
      <c r="Y317" s="103">
        <f t="shared" si="130"/>
        <v>0</v>
      </c>
      <c r="AB317" s="76"/>
      <c r="AC317" s="76"/>
      <c r="AD317" s="76"/>
      <c r="AE317" s="77"/>
      <c r="AF317" s="78"/>
      <c r="AG317" s="24"/>
      <c r="AH317" s="53"/>
      <c r="AI317" s="53"/>
      <c r="AJ317" s="53"/>
      <c r="AK317" s="53"/>
      <c r="AL317" s="53"/>
      <c r="AM317" s="1"/>
      <c r="AN317" s="1"/>
    </row>
    <row r="318" spans="2:40" ht="12.75">
      <c r="B318" s="122">
        <f t="shared" si="125"/>
        <v>39225.11542164748</v>
      </c>
      <c r="C318">
        <v>2</v>
      </c>
      <c r="D318" s="2">
        <v>-0.003</v>
      </c>
      <c r="E318">
        <v>0.6</v>
      </c>
      <c r="F318">
        <f t="shared" si="133"/>
        <v>174.49999999999903</v>
      </c>
      <c r="G318" s="1">
        <f t="shared" si="126"/>
        <v>501.70559999999966</v>
      </c>
      <c r="H318" s="1">
        <f t="shared" si="145"/>
        <v>0</v>
      </c>
      <c r="I318">
        <v>60</v>
      </c>
      <c r="J318" s="64">
        <f t="shared" si="134"/>
        <v>60</v>
      </c>
      <c r="K318" s="117">
        <f t="shared" si="132"/>
        <v>0.0004166666666666667</v>
      </c>
      <c r="L318" s="1">
        <f t="shared" si="135"/>
        <v>44334.23512146597</v>
      </c>
      <c r="M318" s="1">
        <f t="shared" si="127"/>
        <v>8636.539309376489</v>
      </c>
      <c r="N318" s="1">
        <f t="shared" si="144"/>
        <v>21000</v>
      </c>
      <c r="O318" s="74">
        <f t="shared" si="136"/>
        <v>0.41126377663697566</v>
      </c>
      <c r="P318" s="84">
        <f t="shared" si="137"/>
        <v>3</v>
      </c>
      <c r="Q318" s="1">
        <f t="shared" si="138"/>
        <v>4.402125</v>
      </c>
      <c r="R318" s="1">
        <f t="shared" si="139"/>
        <v>2545.6604444245636</v>
      </c>
      <c r="S318" s="1">
        <f t="shared" si="140"/>
        <v>7.336875</v>
      </c>
      <c r="T318" s="60">
        <f t="shared" si="128"/>
        <v>8.80425</v>
      </c>
      <c r="U318" s="101">
        <f t="shared" si="141"/>
        <v>21459.581151832463</v>
      </c>
      <c r="V318" s="102">
        <f t="shared" si="129"/>
        <v>8199.20436963351</v>
      </c>
      <c r="W318" s="102">
        <f t="shared" si="142"/>
        <v>17022.6</v>
      </c>
      <c r="X318" s="102">
        <f t="shared" si="143"/>
        <v>-34100.22</v>
      </c>
      <c r="Y318" s="103">
        <f t="shared" si="130"/>
        <v>31753.0696</v>
      </c>
      <c r="AB318" s="76"/>
      <c r="AC318" s="76"/>
      <c r="AD318" s="76"/>
      <c r="AE318" s="77"/>
      <c r="AF318" s="78"/>
      <c r="AG318" s="24"/>
      <c r="AH318" s="53"/>
      <c r="AI318" s="53"/>
      <c r="AJ318" s="53"/>
      <c r="AK318" s="53"/>
      <c r="AL318" s="53"/>
      <c r="AM318" s="1"/>
      <c r="AN318" s="1"/>
    </row>
    <row r="319" spans="2:40" ht="12.75">
      <c r="B319" s="122">
        <f t="shared" si="125"/>
        <v>39225.11584753823</v>
      </c>
      <c r="C319">
        <v>2</v>
      </c>
      <c r="D319" s="2">
        <v>0</v>
      </c>
      <c r="E319">
        <v>0.6</v>
      </c>
      <c r="F319">
        <f t="shared" si="133"/>
        <v>175.09999999999903</v>
      </c>
      <c r="G319" s="1">
        <f t="shared" si="126"/>
        <v>501.70559999999966</v>
      </c>
      <c r="H319" s="1">
        <f t="shared" si="145"/>
        <v>0</v>
      </c>
      <c r="I319">
        <v>60</v>
      </c>
      <c r="J319" s="64">
        <f t="shared" si="134"/>
        <v>58.700499919612504</v>
      </c>
      <c r="K319" s="117">
        <f t="shared" si="132"/>
        <v>0.0004258907510879173</v>
      </c>
      <c r="L319" s="1">
        <f t="shared" si="135"/>
        <v>110186.45512146597</v>
      </c>
      <c r="M319" s="1">
        <f t="shared" si="127"/>
        <v>21464.893854831033</v>
      </c>
      <c r="N319" s="1">
        <f t="shared" si="144"/>
        <v>21000</v>
      </c>
      <c r="O319" s="74">
        <f t="shared" si="136"/>
        <v>1.0221378026110015</v>
      </c>
      <c r="P319" s="84">
        <f t="shared" si="137"/>
        <v>8</v>
      </c>
      <c r="Q319" s="1">
        <f t="shared" si="138"/>
        <v>11.998875664850548</v>
      </c>
      <c r="R319" s="1">
        <f t="shared" si="139"/>
        <v>2557.659320089414</v>
      </c>
      <c r="S319" s="1">
        <f t="shared" si="140"/>
        <v>19.998126108084247</v>
      </c>
      <c r="T319" s="60">
        <f t="shared" si="128"/>
        <v>23.997751329701096</v>
      </c>
      <c r="U319" s="101">
        <f t="shared" si="141"/>
        <v>21459.581151832463</v>
      </c>
      <c r="V319" s="102">
        <f t="shared" si="129"/>
        <v>8199.20436963351</v>
      </c>
      <c r="W319" s="102">
        <f t="shared" si="142"/>
        <v>17022.6</v>
      </c>
      <c r="X319" s="102">
        <f t="shared" si="143"/>
        <v>0</v>
      </c>
      <c r="Y319" s="103">
        <f t="shared" si="130"/>
        <v>63505.0696</v>
      </c>
      <c r="AB319" s="76"/>
      <c r="AC319" s="76"/>
      <c r="AD319" s="76"/>
      <c r="AE319" s="77"/>
      <c r="AF319" s="78"/>
      <c r="AG319" s="24"/>
      <c r="AH319" s="53"/>
      <c r="AI319" s="53"/>
      <c r="AJ319" s="53"/>
      <c r="AK319" s="53"/>
      <c r="AL319" s="53"/>
      <c r="AM319" s="1"/>
      <c r="AN319" s="1"/>
    </row>
    <row r="320" spans="2:40" ht="12.75">
      <c r="B320" s="122">
        <f t="shared" si="125"/>
        <v>39225.1162642049</v>
      </c>
      <c r="C320">
        <v>0</v>
      </c>
      <c r="D320" s="2">
        <v>0</v>
      </c>
      <c r="E320">
        <v>0.6</v>
      </c>
      <c r="F320">
        <f t="shared" si="133"/>
        <v>175.69999999999902</v>
      </c>
      <c r="G320" s="1">
        <f t="shared" si="126"/>
        <v>501.70559999999966</v>
      </c>
      <c r="H320" s="1">
        <f t="shared" si="145"/>
        <v>0</v>
      </c>
      <c r="I320">
        <v>60</v>
      </c>
      <c r="J320" s="64">
        <f t="shared" si="134"/>
        <v>60</v>
      </c>
      <c r="K320" s="117">
        <f t="shared" si="132"/>
        <v>0.0004166666666666667</v>
      </c>
      <c r="L320" s="1">
        <f t="shared" si="135"/>
        <v>78433.38552146597</v>
      </c>
      <c r="M320" s="1">
        <f t="shared" si="127"/>
        <v>15279.230945740124</v>
      </c>
      <c r="N320" s="1">
        <f t="shared" si="144"/>
        <v>21000</v>
      </c>
      <c r="O320" s="74">
        <f t="shared" si="136"/>
        <v>0.727582425987625</v>
      </c>
      <c r="P320" s="84">
        <f t="shared" si="137"/>
        <v>6</v>
      </c>
      <c r="Q320" s="1">
        <f t="shared" si="138"/>
        <v>8.80425</v>
      </c>
      <c r="R320" s="1">
        <f t="shared" si="139"/>
        <v>2566.463570089414</v>
      </c>
      <c r="S320" s="1">
        <f t="shared" si="140"/>
        <v>14.67375</v>
      </c>
      <c r="T320" s="60">
        <f t="shared" si="128"/>
        <v>17.6085</v>
      </c>
      <c r="U320" s="101">
        <f t="shared" si="141"/>
        <v>21459.581151832463</v>
      </c>
      <c r="V320" s="102">
        <f t="shared" si="129"/>
        <v>8199.20436963351</v>
      </c>
      <c r="W320" s="102">
        <f t="shared" si="142"/>
        <v>17022.6</v>
      </c>
      <c r="X320" s="102">
        <f t="shared" si="143"/>
        <v>0</v>
      </c>
      <c r="Y320" s="103">
        <f t="shared" si="130"/>
        <v>31752</v>
      </c>
      <c r="AB320" s="76"/>
      <c r="AC320" s="76"/>
      <c r="AD320" s="76"/>
      <c r="AE320" s="77"/>
      <c r="AF320" s="78"/>
      <c r="AG320" s="24"/>
      <c r="AH320" s="53"/>
      <c r="AI320" s="53"/>
      <c r="AJ320" s="53"/>
      <c r="AK320" s="53"/>
      <c r="AL320" s="53"/>
      <c r="AM320" s="1"/>
      <c r="AN320" s="1"/>
    </row>
    <row r="321" spans="2:40" ht="12.75">
      <c r="B321" s="122">
        <f t="shared" si="125"/>
        <v>39225.11668087157</v>
      </c>
      <c r="C321">
        <v>0</v>
      </c>
      <c r="D321" s="2">
        <v>0</v>
      </c>
      <c r="E321">
        <v>0.6</v>
      </c>
      <c r="F321">
        <f t="shared" si="133"/>
        <v>176.29999999999902</v>
      </c>
      <c r="G321" s="1">
        <f t="shared" si="126"/>
        <v>501.70559999999966</v>
      </c>
      <c r="H321" s="1">
        <f t="shared" si="145"/>
        <v>0</v>
      </c>
      <c r="I321">
        <v>60</v>
      </c>
      <c r="J321" s="64">
        <f t="shared" si="134"/>
        <v>60.000000000000014</v>
      </c>
      <c r="K321" s="117">
        <f t="shared" si="132"/>
        <v>0.00041666666666666653</v>
      </c>
      <c r="L321" s="1">
        <f t="shared" si="135"/>
        <v>46681.38552146597</v>
      </c>
      <c r="M321" s="1">
        <f t="shared" si="127"/>
        <v>9093.77640028558</v>
      </c>
      <c r="N321" s="1">
        <f t="shared" si="144"/>
        <v>21000</v>
      </c>
      <c r="O321" s="74">
        <f t="shared" si="136"/>
        <v>0.43303697144217046</v>
      </c>
      <c r="P321" s="84">
        <f t="shared" si="137"/>
        <v>4</v>
      </c>
      <c r="Q321" s="1">
        <f t="shared" si="138"/>
        <v>5.869499999999999</v>
      </c>
      <c r="R321" s="1">
        <f t="shared" si="139"/>
        <v>2572.333070089414</v>
      </c>
      <c r="S321" s="1">
        <f t="shared" si="140"/>
        <v>9.782499999999999</v>
      </c>
      <c r="T321" s="60">
        <f t="shared" si="128"/>
        <v>11.738999999999997</v>
      </c>
      <c r="U321" s="101">
        <f t="shared" si="141"/>
        <v>21459.581151832463</v>
      </c>
      <c r="V321" s="102">
        <f t="shared" si="129"/>
        <v>8199.20436963351</v>
      </c>
      <c r="W321" s="102">
        <f t="shared" si="142"/>
        <v>17022.6</v>
      </c>
      <c r="X321" s="102">
        <f t="shared" si="143"/>
        <v>0</v>
      </c>
      <c r="Y321" s="103">
        <f t="shared" si="130"/>
        <v>0</v>
      </c>
      <c r="AB321" s="76"/>
      <c r="AC321" s="76"/>
      <c r="AD321" s="76"/>
      <c r="AE321" s="77"/>
      <c r="AF321" s="78"/>
      <c r="AG321" s="24"/>
      <c r="AH321" s="53"/>
      <c r="AI321" s="53"/>
      <c r="AJ321" s="53"/>
      <c r="AK321" s="53"/>
      <c r="AL321" s="53"/>
      <c r="AM321" s="1"/>
      <c r="AN321" s="1"/>
    </row>
    <row r="322" spans="2:40" ht="12.75">
      <c r="B322" s="122">
        <f t="shared" si="125"/>
        <v>39225.11709753824</v>
      </c>
      <c r="C322">
        <v>0</v>
      </c>
      <c r="D322" s="2">
        <v>0</v>
      </c>
      <c r="E322">
        <v>0.6</v>
      </c>
      <c r="F322">
        <f t="shared" si="133"/>
        <v>176.899999999999</v>
      </c>
      <c r="G322" s="1">
        <f t="shared" si="126"/>
        <v>501.70559999999966</v>
      </c>
      <c r="H322" s="1">
        <f t="shared" si="145"/>
        <v>0</v>
      </c>
      <c r="I322">
        <v>60</v>
      </c>
      <c r="J322" s="64">
        <f t="shared" si="134"/>
        <v>60.000000000000014</v>
      </c>
      <c r="K322" s="117">
        <f t="shared" si="132"/>
        <v>0.00041666666666666653</v>
      </c>
      <c r="L322" s="1">
        <f t="shared" si="135"/>
        <v>46681.38552146597</v>
      </c>
      <c r="M322" s="1">
        <f t="shared" si="127"/>
        <v>9093.77640028558</v>
      </c>
      <c r="N322" s="1">
        <f t="shared" si="144"/>
        <v>21000</v>
      </c>
      <c r="O322" s="74">
        <f t="shared" si="136"/>
        <v>0.43303697144217046</v>
      </c>
      <c r="P322" s="84">
        <f t="shared" si="137"/>
        <v>4</v>
      </c>
      <c r="Q322" s="1">
        <f t="shared" si="138"/>
        <v>5.869499999999999</v>
      </c>
      <c r="R322" s="1">
        <f t="shared" si="139"/>
        <v>2578.2025700894137</v>
      </c>
      <c r="S322" s="1">
        <f t="shared" si="140"/>
        <v>9.782499999999999</v>
      </c>
      <c r="T322" s="60">
        <f t="shared" si="128"/>
        <v>11.738999999999997</v>
      </c>
      <c r="U322" s="101">
        <f t="shared" si="141"/>
        <v>21459.581151832463</v>
      </c>
      <c r="V322" s="102">
        <f t="shared" si="129"/>
        <v>8199.20436963351</v>
      </c>
      <c r="W322" s="102">
        <f t="shared" si="142"/>
        <v>17022.6</v>
      </c>
      <c r="X322" s="102">
        <f t="shared" si="143"/>
        <v>0</v>
      </c>
      <c r="Y322" s="103">
        <f t="shared" si="130"/>
        <v>0</v>
      </c>
      <c r="AB322" s="76"/>
      <c r="AC322" s="76"/>
      <c r="AD322" s="76"/>
      <c r="AE322" s="77"/>
      <c r="AF322" s="78"/>
      <c r="AG322" s="24"/>
      <c r="AH322" s="53"/>
      <c r="AI322" s="53"/>
      <c r="AJ322" s="53"/>
      <c r="AK322" s="53"/>
      <c r="AL322" s="53"/>
      <c r="AM322" s="1"/>
      <c r="AN322" s="1"/>
    </row>
    <row r="323" spans="2:40" ht="12.75">
      <c r="B323" s="122">
        <f t="shared" si="125"/>
        <v>39225.11751420491</v>
      </c>
      <c r="C323">
        <v>0</v>
      </c>
      <c r="D323" s="2">
        <v>0</v>
      </c>
      <c r="E323">
        <v>0.6</v>
      </c>
      <c r="F323">
        <f t="shared" si="133"/>
        <v>177.499999999999</v>
      </c>
      <c r="G323" s="1">
        <f t="shared" si="126"/>
        <v>501.70559999999966</v>
      </c>
      <c r="H323" s="1">
        <f t="shared" si="145"/>
        <v>0</v>
      </c>
      <c r="I323">
        <v>60</v>
      </c>
      <c r="J323" s="64">
        <f t="shared" si="134"/>
        <v>60.000000000000014</v>
      </c>
      <c r="K323" s="117">
        <f t="shared" si="132"/>
        <v>0.00041666666666666653</v>
      </c>
      <c r="L323" s="1">
        <f t="shared" si="135"/>
        <v>46681.38552146597</v>
      </c>
      <c r="M323" s="1">
        <f t="shared" si="127"/>
        <v>9093.77640028558</v>
      </c>
      <c r="N323" s="1">
        <f t="shared" si="144"/>
        <v>21000</v>
      </c>
      <c r="O323" s="74">
        <f t="shared" si="136"/>
        <v>0.43303697144217046</v>
      </c>
      <c r="P323" s="84">
        <f t="shared" si="137"/>
        <v>4</v>
      </c>
      <c r="Q323" s="1">
        <f t="shared" si="138"/>
        <v>5.869499999999999</v>
      </c>
      <c r="R323" s="1">
        <f t="shared" si="139"/>
        <v>2584.0720700894135</v>
      </c>
      <c r="S323" s="1">
        <f t="shared" si="140"/>
        <v>9.782499999999999</v>
      </c>
      <c r="T323" s="60">
        <f t="shared" si="128"/>
        <v>11.738999999999997</v>
      </c>
      <c r="U323" s="101">
        <f t="shared" si="141"/>
        <v>21459.581151832463</v>
      </c>
      <c r="V323" s="102">
        <f t="shared" si="129"/>
        <v>8199.20436963351</v>
      </c>
      <c r="W323" s="102">
        <f t="shared" si="142"/>
        <v>17022.6</v>
      </c>
      <c r="X323" s="102">
        <f t="shared" si="143"/>
        <v>0</v>
      </c>
      <c r="Y323" s="103">
        <f t="shared" si="130"/>
        <v>0</v>
      </c>
      <c r="AB323" s="76"/>
      <c r="AC323" s="76"/>
      <c r="AD323" s="76"/>
      <c r="AE323" s="77"/>
      <c r="AF323" s="78"/>
      <c r="AG323" s="24"/>
      <c r="AH323" s="53"/>
      <c r="AI323" s="53"/>
      <c r="AJ323" s="53"/>
      <c r="AK323" s="53"/>
      <c r="AL323" s="53"/>
      <c r="AM323" s="1"/>
      <c r="AN323" s="1"/>
    </row>
    <row r="324" spans="2:40" ht="12.75">
      <c r="B324" s="122">
        <f t="shared" si="125"/>
        <v>39225.11793087158</v>
      </c>
      <c r="C324">
        <v>0</v>
      </c>
      <c r="D324" s="2">
        <v>0.006</v>
      </c>
      <c r="E324">
        <v>0.5</v>
      </c>
      <c r="F324">
        <f t="shared" si="133"/>
        <v>177.999999999999</v>
      </c>
      <c r="G324" s="1">
        <f t="shared" si="126"/>
        <v>517.5455999999997</v>
      </c>
      <c r="H324" s="1">
        <f t="shared" si="145"/>
        <v>15.840000000000032</v>
      </c>
      <c r="I324">
        <v>50</v>
      </c>
      <c r="J324" s="64">
        <f t="shared" si="134"/>
        <v>50</v>
      </c>
      <c r="K324" s="117">
        <f t="shared" si="132"/>
        <v>0.0004166666666666667</v>
      </c>
      <c r="L324" s="1">
        <f t="shared" si="135"/>
        <v>105487.63128062828</v>
      </c>
      <c r="M324" s="1">
        <f t="shared" si="127"/>
        <v>17124.61546763446</v>
      </c>
      <c r="N324" s="1">
        <f t="shared" si="144"/>
        <v>21000</v>
      </c>
      <c r="O324" s="74">
        <f t="shared" si="136"/>
        <v>0.8154578794111648</v>
      </c>
      <c r="P324" s="84">
        <f t="shared" si="137"/>
        <v>6</v>
      </c>
      <c r="Q324" s="1">
        <f t="shared" si="138"/>
        <v>8.80425</v>
      </c>
      <c r="R324" s="1">
        <f t="shared" si="139"/>
        <v>2592.8763200894136</v>
      </c>
      <c r="S324" s="1">
        <f t="shared" si="140"/>
        <v>17.6085</v>
      </c>
      <c r="T324" s="60">
        <f t="shared" si="128"/>
        <v>17.6085</v>
      </c>
      <c r="U324" s="101">
        <f t="shared" si="141"/>
        <v>14902.486910994765</v>
      </c>
      <c r="V324" s="102">
        <f t="shared" si="129"/>
        <v>8199.20436963351</v>
      </c>
      <c r="W324" s="102">
        <f t="shared" si="142"/>
        <v>14185.5</v>
      </c>
      <c r="X324" s="102">
        <f t="shared" si="143"/>
        <v>68200.44</v>
      </c>
      <c r="Y324" s="103">
        <f t="shared" si="130"/>
        <v>0</v>
      </c>
      <c r="AB324" s="76"/>
      <c r="AC324" s="76"/>
      <c r="AD324" s="76"/>
      <c r="AE324" s="77"/>
      <c r="AF324" s="78"/>
      <c r="AG324" s="24"/>
      <c r="AH324" s="53"/>
      <c r="AI324" s="53"/>
      <c r="AJ324" s="53"/>
      <c r="AK324" s="53"/>
      <c r="AL324" s="53"/>
      <c r="AM324" s="1"/>
      <c r="AN324" s="1"/>
    </row>
    <row r="325" spans="2:40" ht="12.75">
      <c r="B325" s="122">
        <f t="shared" si="125"/>
        <v>39225.11855587158</v>
      </c>
      <c r="C325">
        <v>0</v>
      </c>
      <c r="D325" s="2">
        <v>0.009</v>
      </c>
      <c r="E325">
        <v>0.6</v>
      </c>
      <c r="F325">
        <f t="shared" si="133"/>
        <v>178.599999999999</v>
      </c>
      <c r="G325" s="1">
        <f t="shared" si="126"/>
        <v>546.0575999999996</v>
      </c>
      <c r="H325" s="1">
        <f t="shared" si="145"/>
        <v>28.511999999999944</v>
      </c>
      <c r="I325">
        <v>40</v>
      </c>
      <c r="J325" s="64">
        <f t="shared" si="134"/>
        <v>39.99999999999999</v>
      </c>
      <c r="K325" s="117">
        <f t="shared" si="132"/>
        <v>0.0006250000000000001</v>
      </c>
      <c r="L325" s="1">
        <f t="shared" si="135"/>
        <v>131385.85599267017</v>
      </c>
      <c r="M325" s="1">
        <f t="shared" si="127"/>
        <v>17063.098180866255</v>
      </c>
      <c r="N325" s="1">
        <f t="shared" si="144"/>
        <v>21000</v>
      </c>
      <c r="O325" s="74">
        <f t="shared" si="136"/>
        <v>0.812528484803155</v>
      </c>
      <c r="P325" s="84">
        <f t="shared" si="137"/>
        <v>6</v>
      </c>
      <c r="Q325" s="1">
        <f t="shared" si="138"/>
        <v>13.206375000000001</v>
      </c>
      <c r="R325" s="1">
        <f t="shared" si="139"/>
        <v>2606.082695089414</v>
      </c>
      <c r="S325" s="1">
        <f t="shared" si="140"/>
        <v>22.010625000000005</v>
      </c>
      <c r="T325" s="60">
        <f t="shared" si="128"/>
        <v>26.412750000000003</v>
      </c>
      <c r="U325" s="101">
        <f t="shared" si="141"/>
        <v>9537.59162303665</v>
      </c>
      <c r="V325" s="102">
        <f t="shared" si="129"/>
        <v>8199.20436963351</v>
      </c>
      <c r="W325" s="102">
        <f t="shared" si="142"/>
        <v>11348.399999999998</v>
      </c>
      <c r="X325" s="102">
        <f t="shared" si="143"/>
        <v>102300.66</v>
      </c>
      <c r="Y325" s="103">
        <f t="shared" si="130"/>
        <v>0</v>
      </c>
      <c r="AB325" s="76"/>
      <c r="AC325" s="76"/>
      <c r="AD325" s="76"/>
      <c r="AE325" s="77"/>
      <c r="AF325" s="78"/>
      <c r="AG325" s="24"/>
      <c r="AH325" s="53"/>
      <c r="AI325" s="53"/>
      <c r="AJ325" s="53"/>
      <c r="AK325" s="53"/>
      <c r="AL325" s="53"/>
      <c r="AM325" s="1"/>
      <c r="AN325" s="1"/>
    </row>
    <row r="326" spans="2:40" ht="12.75">
      <c r="B326" s="122">
        <f t="shared" si="125"/>
        <v>39225.11897253825</v>
      </c>
      <c r="C326">
        <v>0</v>
      </c>
      <c r="D326" s="2">
        <v>-0.005</v>
      </c>
      <c r="E326">
        <v>0.6</v>
      </c>
      <c r="F326">
        <f t="shared" si="133"/>
        <v>179.199999999999</v>
      </c>
      <c r="G326" s="1">
        <f t="shared" si="126"/>
        <v>530.2175999999996</v>
      </c>
      <c r="H326" s="1">
        <f t="shared" si="145"/>
        <v>0</v>
      </c>
      <c r="I326">
        <v>60</v>
      </c>
      <c r="J326" s="64">
        <f>IF(M326&lt;=N326,M326/L326*308,N326/L326*308)</f>
        <v>59.99999999999999</v>
      </c>
      <c r="K326" s="117">
        <f t="shared" si="132"/>
        <v>0.0004166666666666667</v>
      </c>
      <c r="L326" s="1">
        <f t="shared" si="135"/>
        <v>-10152.314478534026</v>
      </c>
      <c r="M326" s="1">
        <f t="shared" si="127"/>
        <v>-1977.7235997144205</v>
      </c>
      <c r="N326" s="1">
        <f t="shared" si="144"/>
        <v>21000</v>
      </c>
      <c r="O326" s="74">
        <f t="shared" si="136"/>
        <v>-0.09417731427211526</v>
      </c>
      <c r="P326" s="84">
        <f t="shared" si="137"/>
        <v>1</v>
      </c>
      <c r="Q326" s="1">
        <f t="shared" si="138"/>
        <v>1.467375</v>
      </c>
      <c r="R326" s="1">
        <f t="shared" si="139"/>
        <v>2607.550070089414</v>
      </c>
      <c r="S326" s="1">
        <f t="shared" si="140"/>
        <v>2.445625</v>
      </c>
      <c r="T326" s="60">
        <f t="shared" si="128"/>
        <v>2.93475</v>
      </c>
      <c r="U326" s="101">
        <f t="shared" si="141"/>
        <v>21459.581151832463</v>
      </c>
      <c r="V326" s="102">
        <f t="shared" si="129"/>
        <v>8199.20436963351</v>
      </c>
      <c r="W326" s="102">
        <f t="shared" si="142"/>
        <v>17022.6</v>
      </c>
      <c r="X326" s="102">
        <f t="shared" si="143"/>
        <v>-56833.7</v>
      </c>
      <c r="Y326" s="103">
        <f t="shared" si="130"/>
        <v>0</v>
      </c>
      <c r="AB326" s="76"/>
      <c r="AC326" s="76"/>
      <c r="AD326" s="76"/>
      <c r="AE326" s="77"/>
      <c r="AF326" s="78"/>
      <c r="AG326" s="24"/>
      <c r="AH326" s="53"/>
      <c r="AI326" s="53"/>
      <c r="AJ326" s="53"/>
      <c r="AK326" s="53"/>
      <c r="AL326" s="53"/>
      <c r="AM326" s="1"/>
      <c r="AN326" s="1"/>
    </row>
    <row r="327" spans="2:40" ht="12.75">
      <c r="B327" s="122">
        <f t="shared" si="125"/>
        <v>39225.11938920492</v>
      </c>
      <c r="C327">
        <v>0</v>
      </c>
      <c r="D327" s="2">
        <v>-0.004</v>
      </c>
      <c r="E327">
        <v>0.6</v>
      </c>
      <c r="F327">
        <f t="shared" si="133"/>
        <v>179.799999999999</v>
      </c>
      <c r="G327" s="1">
        <f t="shared" si="126"/>
        <v>517.5455999999996</v>
      </c>
      <c r="H327" s="1">
        <f t="shared" si="145"/>
        <v>0</v>
      </c>
      <c r="I327">
        <v>60</v>
      </c>
      <c r="J327" s="64">
        <f t="shared" si="134"/>
        <v>60</v>
      </c>
      <c r="K327" s="117">
        <f t="shared" si="132"/>
        <v>0.0004166666666666667</v>
      </c>
      <c r="L327" s="1">
        <f t="shared" si="135"/>
        <v>1214.4255214659715</v>
      </c>
      <c r="M327" s="1">
        <f t="shared" si="127"/>
        <v>236.57640028557887</v>
      </c>
      <c r="N327" s="1">
        <f t="shared" si="144"/>
        <v>21000</v>
      </c>
      <c r="O327" s="74">
        <f t="shared" si="136"/>
        <v>0.011265542870741852</v>
      </c>
      <c r="P327" s="84">
        <f t="shared" si="137"/>
        <v>1</v>
      </c>
      <c r="Q327" s="1">
        <f t="shared" si="138"/>
        <v>1.467375</v>
      </c>
      <c r="R327" s="1">
        <f t="shared" si="139"/>
        <v>2609.017445089414</v>
      </c>
      <c r="S327" s="1">
        <f t="shared" si="140"/>
        <v>2.445625</v>
      </c>
      <c r="T327" s="60">
        <f t="shared" si="128"/>
        <v>2.93475</v>
      </c>
      <c r="U327" s="101">
        <f t="shared" si="141"/>
        <v>21459.581151832463</v>
      </c>
      <c r="V327" s="102">
        <f t="shared" si="129"/>
        <v>8199.20436963351</v>
      </c>
      <c r="W327" s="102">
        <f t="shared" si="142"/>
        <v>17022.6</v>
      </c>
      <c r="X327" s="102">
        <f t="shared" si="143"/>
        <v>-45466.96</v>
      </c>
      <c r="Y327" s="103">
        <f t="shared" si="130"/>
        <v>0</v>
      </c>
      <c r="AB327" s="76"/>
      <c r="AC327" s="76"/>
      <c r="AD327" s="76"/>
      <c r="AE327" s="77"/>
      <c r="AF327" s="78"/>
      <c r="AG327" s="24"/>
      <c r="AH327" s="53"/>
      <c r="AI327" s="53"/>
      <c r="AJ327" s="53"/>
      <c r="AK327" s="53"/>
      <c r="AL327" s="53"/>
      <c r="AM327" s="1"/>
      <c r="AN327" s="1"/>
    </row>
    <row r="328" spans="2:40" ht="12.75">
      <c r="B328" s="122">
        <f t="shared" si="125"/>
        <v>39225.11980587159</v>
      </c>
      <c r="C328">
        <v>0</v>
      </c>
      <c r="D328" s="2">
        <v>-0.003</v>
      </c>
      <c r="E328">
        <v>0.6</v>
      </c>
      <c r="F328">
        <f t="shared" si="133"/>
        <v>180.39999999999898</v>
      </c>
      <c r="G328" s="1">
        <f t="shared" si="126"/>
        <v>508.04159999999956</v>
      </c>
      <c r="H328" s="1">
        <f t="shared" si="145"/>
        <v>0</v>
      </c>
      <c r="I328">
        <v>60</v>
      </c>
      <c r="J328" s="64">
        <f t="shared" si="134"/>
        <v>59.99999999999999</v>
      </c>
      <c r="K328" s="117">
        <f t="shared" si="132"/>
        <v>0.0004166666666666667</v>
      </c>
      <c r="L328" s="1">
        <f t="shared" si="135"/>
        <v>12581.16552146597</v>
      </c>
      <c r="M328" s="1">
        <f t="shared" si="127"/>
        <v>2450.8764002855783</v>
      </c>
      <c r="N328" s="1">
        <f t="shared" si="144"/>
        <v>21000</v>
      </c>
      <c r="O328" s="74">
        <f t="shared" si="136"/>
        <v>0.11670840001359896</v>
      </c>
      <c r="P328" s="84">
        <f t="shared" si="137"/>
        <v>1</v>
      </c>
      <c r="Q328" s="1">
        <f t="shared" si="138"/>
        <v>1.467375</v>
      </c>
      <c r="R328" s="1">
        <f t="shared" si="139"/>
        <v>2610.4848200894144</v>
      </c>
      <c r="S328" s="1">
        <f t="shared" si="140"/>
        <v>2.445625</v>
      </c>
      <c r="T328" s="60">
        <f t="shared" si="128"/>
        <v>2.93475</v>
      </c>
      <c r="U328" s="101">
        <f t="shared" si="141"/>
        <v>21459.581151832463</v>
      </c>
      <c r="V328" s="102">
        <f t="shared" si="129"/>
        <v>8199.20436963351</v>
      </c>
      <c r="W328" s="102">
        <f t="shared" si="142"/>
        <v>17022.6</v>
      </c>
      <c r="X328" s="102">
        <f t="shared" si="143"/>
        <v>-34100.22</v>
      </c>
      <c r="Y328" s="103">
        <f t="shared" si="130"/>
        <v>0</v>
      </c>
      <c r="AB328" s="76"/>
      <c r="AC328" s="76"/>
      <c r="AD328" s="76"/>
      <c r="AE328" s="77"/>
      <c r="AF328" s="78"/>
      <c r="AG328" s="24"/>
      <c r="AH328" s="53"/>
      <c r="AI328" s="53"/>
      <c r="AJ328" s="53"/>
      <c r="AK328" s="53"/>
      <c r="AL328" s="53"/>
      <c r="AM328" s="1"/>
      <c r="AN328" s="1"/>
    </row>
    <row r="329" spans="2:40" ht="12.75">
      <c r="B329" s="122">
        <f t="shared" si="125"/>
        <v>39225.12022253826</v>
      </c>
      <c r="C329">
        <v>0</v>
      </c>
      <c r="D329" s="2">
        <v>-0.003</v>
      </c>
      <c r="E329">
        <v>0.6</v>
      </c>
      <c r="F329">
        <f t="shared" si="133"/>
        <v>180.99999999999898</v>
      </c>
      <c r="G329" s="1">
        <f t="shared" si="126"/>
        <v>498.53759999999954</v>
      </c>
      <c r="H329" s="1">
        <f t="shared" si="145"/>
        <v>0</v>
      </c>
      <c r="I329">
        <v>60</v>
      </c>
      <c r="J329" s="64">
        <f t="shared" si="134"/>
        <v>59.99999999999999</v>
      </c>
      <c r="K329" s="117">
        <f t="shared" si="132"/>
        <v>0.0004166666666666667</v>
      </c>
      <c r="L329" s="1">
        <f t="shared" si="135"/>
        <v>12581.16552146597</v>
      </c>
      <c r="M329" s="1">
        <f t="shared" si="127"/>
        <v>2450.8764002855783</v>
      </c>
      <c r="N329" s="1">
        <f t="shared" si="144"/>
        <v>21000</v>
      </c>
      <c r="O329" s="74">
        <f t="shared" si="136"/>
        <v>0.11670840001359896</v>
      </c>
      <c r="P329" s="84">
        <f t="shared" si="137"/>
        <v>1</v>
      </c>
      <c r="Q329" s="1">
        <f t="shared" si="138"/>
        <v>1.467375</v>
      </c>
      <c r="R329" s="1">
        <f t="shared" si="139"/>
        <v>2611.9521950894145</v>
      </c>
      <c r="S329" s="1">
        <f t="shared" si="140"/>
        <v>2.445625</v>
      </c>
      <c r="T329" s="60">
        <f t="shared" si="128"/>
        <v>2.93475</v>
      </c>
      <c r="U329" s="101">
        <f t="shared" si="141"/>
        <v>21459.581151832463</v>
      </c>
      <c r="V329" s="102">
        <f t="shared" si="129"/>
        <v>8199.20436963351</v>
      </c>
      <c r="W329" s="102">
        <f t="shared" si="142"/>
        <v>17022.6</v>
      </c>
      <c r="X329" s="102">
        <f t="shared" si="143"/>
        <v>-34100.22</v>
      </c>
      <c r="Y329" s="103">
        <f t="shared" si="130"/>
        <v>0</v>
      </c>
      <c r="AB329" s="76"/>
      <c r="AC329" s="76"/>
      <c r="AD329" s="76"/>
      <c r="AE329" s="77"/>
      <c r="AF329" s="78"/>
      <c r="AG329" s="24"/>
      <c r="AH329" s="53"/>
      <c r="AI329" s="53"/>
      <c r="AJ329" s="53"/>
      <c r="AK329" s="53"/>
      <c r="AL329" s="53"/>
      <c r="AM329" s="1"/>
      <c r="AN329" s="1"/>
    </row>
    <row r="330" spans="2:40" ht="12.75">
      <c r="B330" s="122">
        <f t="shared" si="125"/>
        <v>39225.12063920493</v>
      </c>
      <c r="C330">
        <v>0</v>
      </c>
      <c r="D330" s="2">
        <v>-0.002</v>
      </c>
      <c r="E330">
        <v>0.6</v>
      </c>
      <c r="F330">
        <f t="shared" si="133"/>
        <v>181.59999999999897</v>
      </c>
      <c r="G330" s="1">
        <f t="shared" si="126"/>
        <v>492.20159999999953</v>
      </c>
      <c r="H330" s="1">
        <f t="shared" si="145"/>
        <v>0</v>
      </c>
      <c r="I330">
        <v>60</v>
      </c>
      <c r="J330" s="64">
        <f t="shared" si="134"/>
        <v>60</v>
      </c>
      <c r="K330" s="117">
        <f t="shared" si="132"/>
        <v>0.0004166666666666667</v>
      </c>
      <c r="L330" s="1">
        <f t="shared" si="135"/>
        <v>23947.90552146597</v>
      </c>
      <c r="M330" s="1">
        <f t="shared" si="127"/>
        <v>4665.176400285579</v>
      </c>
      <c r="N330" s="1">
        <f t="shared" si="144"/>
        <v>21000</v>
      </c>
      <c r="O330" s="74">
        <f t="shared" si="136"/>
        <v>0.22215125715645614</v>
      </c>
      <c r="P330" s="84">
        <f t="shared" si="137"/>
        <v>2</v>
      </c>
      <c r="Q330" s="1">
        <f t="shared" si="138"/>
        <v>2.93475</v>
      </c>
      <c r="R330" s="1">
        <f t="shared" si="139"/>
        <v>2614.8869450894144</v>
      </c>
      <c r="S330" s="1">
        <f t="shared" si="140"/>
        <v>4.89125</v>
      </c>
      <c r="T330" s="60">
        <f t="shared" si="128"/>
        <v>5.8695</v>
      </c>
      <c r="U330" s="101">
        <f t="shared" si="141"/>
        <v>21459.581151832463</v>
      </c>
      <c r="V330" s="102">
        <f t="shared" si="129"/>
        <v>8199.20436963351</v>
      </c>
      <c r="W330" s="102">
        <f t="shared" si="142"/>
        <v>17022.6</v>
      </c>
      <c r="X330" s="102">
        <f t="shared" si="143"/>
        <v>-22733.48</v>
      </c>
      <c r="Y330" s="103">
        <f t="shared" si="130"/>
        <v>0</v>
      </c>
      <c r="AB330" s="76"/>
      <c r="AC330" s="76"/>
      <c r="AD330" s="76"/>
      <c r="AE330" s="77"/>
      <c r="AF330" s="78"/>
      <c r="AG330" s="24"/>
      <c r="AH330" s="53"/>
      <c r="AI330" s="53"/>
      <c r="AJ330" s="53"/>
      <c r="AK330" s="53"/>
      <c r="AL330" s="53"/>
      <c r="AM330" s="1"/>
      <c r="AN330" s="1"/>
    </row>
    <row r="331" spans="2:40" ht="12.75">
      <c r="B331" s="122">
        <f aca="true" t="shared" si="146" ref="B331:B373">(B330+(K331))</f>
        <v>39225.1210558716</v>
      </c>
      <c r="C331">
        <v>0</v>
      </c>
      <c r="D331" s="2">
        <v>-0.002</v>
      </c>
      <c r="E331">
        <v>0.6</v>
      </c>
      <c r="F331">
        <f t="shared" si="133"/>
        <v>182.19999999999897</v>
      </c>
      <c r="G331" s="1">
        <f aca="true" t="shared" si="147" ref="G331:G373">G330+E331*D331*5280</f>
        <v>485.8655999999995</v>
      </c>
      <c r="H331" s="1">
        <f t="shared" si="145"/>
        <v>0</v>
      </c>
      <c r="I331">
        <v>60</v>
      </c>
      <c r="J331" s="64">
        <f t="shared" si="134"/>
        <v>60</v>
      </c>
      <c r="K331" s="117">
        <f t="shared" si="132"/>
        <v>0.0004166666666666667</v>
      </c>
      <c r="L331" s="1">
        <f t="shared" si="135"/>
        <v>23947.90552146597</v>
      </c>
      <c r="M331" s="1">
        <f aca="true" t="shared" si="148" ref="M331:M373">$L331*$I331/308</f>
        <v>4665.176400285579</v>
      </c>
      <c r="N331" s="1">
        <f t="shared" si="144"/>
        <v>21000</v>
      </c>
      <c r="O331" s="74">
        <f t="shared" si="136"/>
        <v>0.22215125715645614</v>
      </c>
      <c r="P331" s="84">
        <f t="shared" si="137"/>
        <v>2</v>
      </c>
      <c r="Q331" s="1">
        <f t="shared" si="138"/>
        <v>2.93475</v>
      </c>
      <c r="R331" s="1">
        <f t="shared" si="139"/>
        <v>2617.8216950894143</v>
      </c>
      <c r="S331" s="1">
        <f t="shared" si="140"/>
        <v>4.89125</v>
      </c>
      <c r="T331" s="60">
        <f aca="true" t="shared" si="149" ref="T331:T373">Q331*$AB$15</f>
        <v>5.8695</v>
      </c>
      <c r="U331" s="101">
        <f t="shared" si="141"/>
        <v>21459.581151832463</v>
      </c>
      <c r="V331" s="102">
        <f aca="true" t="shared" si="150" ref="V331:V373">$AB$11*(1.3+0.29/((VLOOKUP($AB$10,$AA$36:$AI$44,9,0))/VLOOKUP($AB$10,$AA$36:$AI$44,8,0)))+(1.3+0.29/((VLOOKUP($AB$12,$AA$27:$AH$33,7,0))/VLOOKUP($AB$12,$AA$27:$AH$33,8,0)))*$AE$7</f>
        <v>8199.20436963351</v>
      </c>
      <c r="W331" s="102">
        <f t="shared" si="142"/>
        <v>17022.6</v>
      </c>
      <c r="X331" s="102">
        <f t="shared" si="143"/>
        <v>-22733.48</v>
      </c>
      <c r="Y331" s="103">
        <f aca="true" t="shared" si="151" ref="Y331:Y373">(IF(E331*5280&lt;$AE$8,($AB$14*(0.8*C330*((VLOOKUP($AB$12,$AA$27:$AH$33,7,0))/2000/2000))*$AE$7),0)+$AB$11*(0.8*C331*(VLOOKUP($AB$10,$AA$36:$AI$44,9,0))/2000)+$AB$14*(0.8*C331*((VLOOKUP($AB$12,$AA$27:$AH$33,7,0))/2000/2000))*$AE$7)</f>
        <v>0</v>
      </c>
      <c r="AB331" s="76"/>
      <c r="AC331" s="76"/>
      <c r="AD331" s="76"/>
      <c r="AE331" s="77"/>
      <c r="AF331" s="78"/>
      <c r="AG331" s="24"/>
      <c r="AH331" s="53"/>
      <c r="AI331" s="53"/>
      <c r="AJ331" s="53"/>
      <c r="AK331" s="53"/>
      <c r="AL331" s="53"/>
      <c r="AM331" s="1"/>
      <c r="AN331" s="1"/>
    </row>
    <row r="332" spans="2:40" ht="12.75">
      <c r="B332" s="122">
        <f t="shared" si="146"/>
        <v>39225.12147253827</v>
      </c>
      <c r="C332">
        <v>0</v>
      </c>
      <c r="D332" s="2">
        <v>-0.002</v>
      </c>
      <c r="E332">
        <v>0.6</v>
      </c>
      <c r="F332">
        <f t="shared" si="133"/>
        <v>182.79999999999896</v>
      </c>
      <c r="G332" s="1">
        <f t="shared" si="147"/>
        <v>479.5295999999995</v>
      </c>
      <c r="H332" s="1">
        <f t="shared" si="145"/>
        <v>0</v>
      </c>
      <c r="I332">
        <v>60</v>
      </c>
      <c r="J332" s="64">
        <f t="shared" si="134"/>
        <v>60</v>
      </c>
      <c r="K332" s="117">
        <f t="shared" si="132"/>
        <v>0.0004166666666666667</v>
      </c>
      <c r="L332" s="1">
        <f t="shared" si="135"/>
        <v>23947.90552146597</v>
      </c>
      <c r="M332" s="1">
        <f t="shared" si="148"/>
        <v>4665.176400285579</v>
      </c>
      <c r="N332" s="1">
        <f t="shared" si="144"/>
        <v>21000</v>
      </c>
      <c r="O332" s="74">
        <f t="shared" si="136"/>
        <v>0.22215125715645614</v>
      </c>
      <c r="P332" s="84">
        <f t="shared" si="137"/>
        <v>2</v>
      </c>
      <c r="Q332" s="1">
        <f t="shared" si="138"/>
        <v>2.93475</v>
      </c>
      <c r="R332" s="1">
        <f t="shared" si="139"/>
        <v>2620.7564450894142</v>
      </c>
      <c r="S332" s="1">
        <f t="shared" si="140"/>
        <v>4.89125</v>
      </c>
      <c r="T332" s="60">
        <f t="shared" si="149"/>
        <v>5.8695</v>
      </c>
      <c r="U332" s="101">
        <f t="shared" si="141"/>
        <v>21459.581151832463</v>
      </c>
      <c r="V332" s="102">
        <f t="shared" si="150"/>
        <v>8199.20436963351</v>
      </c>
      <c r="W332" s="102">
        <f t="shared" si="142"/>
        <v>17022.6</v>
      </c>
      <c r="X332" s="102">
        <f t="shared" si="143"/>
        <v>-22733.48</v>
      </c>
      <c r="Y332" s="103">
        <f t="shared" si="151"/>
        <v>0</v>
      </c>
      <c r="AB332" s="76"/>
      <c r="AC332" s="76"/>
      <c r="AD332" s="76"/>
      <c r="AE332" s="77"/>
      <c r="AF332" s="78"/>
      <c r="AG332" s="24"/>
      <c r="AH332" s="53"/>
      <c r="AI332" s="53"/>
      <c r="AJ332" s="53"/>
      <c r="AK332" s="53"/>
      <c r="AL332" s="53"/>
      <c r="AM332" s="1"/>
      <c r="AN332" s="1"/>
    </row>
    <row r="333" spans="2:40" ht="12.75">
      <c r="B333" s="122">
        <f t="shared" si="146"/>
        <v>39225.121958649375</v>
      </c>
      <c r="C333">
        <v>0</v>
      </c>
      <c r="D333" s="2">
        <v>0</v>
      </c>
      <c r="E333">
        <v>0.7</v>
      </c>
      <c r="F333">
        <f t="shared" si="133"/>
        <v>183.49999999999895</v>
      </c>
      <c r="G333" s="1">
        <f t="shared" si="147"/>
        <v>479.5295999999995</v>
      </c>
      <c r="H333" s="1">
        <f t="shared" si="145"/>
        <v>0</v>
      </c>
      <c r="I333">
        <v>60</v>
      </c>
      <c r="J333" s="64">
        <f t="shared" si="134"/>
        <v>60.000000000000014</v>
      </c>
      <c r="K333" s="117">
        <f t="shared" si="132"/>
        <v>0.000486111111111111</v>
      </c>
      <c r="L333" s="1">
        <f t="shared" si="135"/>
        <v>46681.38552146597</v>
      </c>
      <c r="M333" s="1">
        <f t="shared" si="148"/>
        <v>9093.77640028558</v>
      </c>
      <c r="N333" s="1">
        <f t="shared" si="144"/>
        <v>21000</v>
      </c>
      <c r="O333" s="74">
        <f t="shared" si="136"/>
        <v>0.43303697144217046</v>
      </c>
      <c r="P333" s="84">
        <f t="shared" si="137"/>
        <v>4</v>
      </c>
      <c r="Q333" s="1">
        <f t="shared" si="138"/>
        <v>6.847749999999997</v>
      </c>
      <c r="R333" s="1">
        <f t="shared" si="139"/>
        <v>2627.604195089414</v>
      </c>
      <c r="S333" s="1">
        <f t="shared" si="140"/>
        <v>9.782499999999995</v>
      </c>
      <c r="T333" s="60">
        <f t="shared" si="149"/>
        <v>13.695499999999994</v>
      </c>
      <c r="U333" s="101">
        <f t="shared" si="141"/>
        <v>21459.581151832463</v>
      </c>
      <c r="V333" s="102">
        <f t="shared" si="150"/>
        <v>8199.20436963351</v>
      </c>
      <c r="W333" s="102">
        <f t="shared" si="142"/>
        <v>17022.6</v>
      </c>
      <c r="X333" s="102">
        <f t="shared" si="143"/>
        <v>0</v>
      </c>
      <c r="Y333" s="103">
        <f t="shared" si="151"/>
        <v>0</v>
      </c>
      <c r="AB333" s="76"/>
      <c r="AC333" s="76"/>
      <c r="AD333" s="76"/>
      <c r="AE333" s="77"/>
      <c r="AF333" s="78"/>
      <c r="AG333" s="24"/>
      <c r="AH333" s="53"/>
      <c r="AI333" s="53"/>
      <c r="AJ333" s="53"/>
      <c r="AK333" s="53"/>
      <c r="AL333" s="53"/>
      <c r="AM333" s="1"/>
      <c r="AN333" s="1"/>
    </row>
    <row r="334" spans="2:40" ht="12.75">
      <c r="B334" s="122">
        <f t="shared" si="146"/>
        <v>39225.122375316045</v>
      </c>
      <c r="C334">
        <v>0</v>
      </c>
      <c r="D334" s="2">
        <v>0</v>
      </c>
      <c r="E334">
        <v>0.6</v>
      </c>
      <c r="F334">
        <f t="shared" si="133"/>
        <v>184.09999999999894</v>
      </c>
      <c r="G334" s="1">
        <f t="shared" si="147"/>
        <v>479.5295999999995</v>
      </c>
      <c r="H334" s="1">
        <f t="shared" si="145"/>
        <v>0</v>
      </c>
      <c r="I334">
        <v>60</v>
      </c>
      <c r="J334" s="64">
        <f t="shared" si="134"/>
        <v>60.000000000000014</v>
      </c>
      <c r="K334" s="117">
        <f t="shared" si="132"/>
        <v>0.00041666666666666653</v>
      </c>
      <c r="L334" s="1">
        <f t="shared" si="135"/>
        <v>46681.38552146597</v>
      </c>
      <c r="M334" s="1">
        <f t="shared" si="148"/>
        <v>9093.77640028558</v>
      </c>
      <c r="N334" s="1">
        <f t="shared" si="144"/>
        <v>21000</v>
      </c>
      <c r="O334" s="74">
        <f t="shared" si="136"/>
        <v>0.43303697144217046</v>
      </c>
      <c r="P334" s="84">
        <f t="shared" si="137"/>
        <v>4</v>
      </c>
      <c r="Q334" s="1">
        <f t="shared" si="138"/>
        <v>5.869499999999999</v>
      </c>
      <c r="R334" s="1">
        <f t="shared" si="139"/>
        <v>2633.473695089414</v>
      </c>
      <c r="S334" s="1">
        <f t="shared" si="140"/>
        <v>9.782499999999999</v>
      </c>
      <c r="T334" s="60">
        <f t="shared" si="149"/>
        <v>11.738999999999997</v>
      </c>
      <c r="U334" s="101">
        <f t="shared" si="141"/>
        <v>21459.581151832463</v>
      </c>
      <c r="V334" s="102">
        <f t="shared" si="150"/>
        <v>8199.20436963351</v>
      </c>
      <c r="W334" s="102">
        <f t="shared" si="142"/>
        <v>17022.6</v>
      </c>
      <c r="X334" s="102">
        <f t="shared" si="143"/>
        <v>0</v>
      </c>
      <c r="Y334" s="103">
        <f t="shared" si="151"/>
        <v>0</v>
      </c>
      <c r="AB334" s="76"/>
      <c r="AC334" s="76"/>
      <c r="AD334" s="76"/>
      <c r="AE334" s="77"/>
      <c r="AF334" s="78"/>
      <c r="AG334" s="24"/>
      <c r="AH334" s="53"/>
      <c r="AI334" s="53"/>
      <c r="AJ334" s="53"/>
      <c r="AK334" s="53"/>
      <c r="AL334" s="53"/>
      <c r="AM334" s="1"/>
      <c r="AN334" s="1"/>
    </row>
    <row r="335" spans="2:40" ht="12.75">
      <c r="B335" s="122">
        <f t="shared" si="146"/>
        <v>39225.122791982714</v>
      </c>
      <c r="C335">
        <v>0</v>
      </c>
      <c r="D335" s="2">
        <v>0</v>
      </c>
      <c r="E335">
        <v>0.6</v>
      </c>
      <c r="F335">
        <f t="shared" si="133"/>
        <v>184.69999999999894</v>
      </c>
      <c r="G335" s="1">
        <f t="shared" si="147"/>
        <v>479.5295999999995</v>
      </c>
      <c r="H335" s="1">
        <f t="shared" si="145"/>
        <v>0</v>
      </c>
      <c r="I335">
        <v>60</v>
      </c>
      <c r="J335" s="64">
        <f t="shared" si="134"/>
        <v>60.000000000000014</v>
      </c>
      <c r="K335" s="117">
        <f t="shared" si="132"/>
        <v>0.00041666666666666653</v>
      </c>
      <c r="L335" s="1">
        <f t="shared" si="135"/>
        <v>46681.38552146597</v>
      </c>
      <c r="M335" s="1">
        <f t="shared" si="148"/>
        <v>9093.77640028558</v>
      </c>
      <c r="N335" s="1">
        <f t="shared" si="144"/>
        <v>21000</v>
      </c>
      <c r="O335" s="74">
        <f t="shared" si="136"/>
        <v>0.43303697144217046</v>
      </c>
      <c r="P335" s="84">
        <f t="shared" si="137"/>
        <v>4</v>
      </c>
      <c r="Q335" s="1">
        <f t="shared" si="138"/>
        <v>5.869499999999999</v>
      </c>
      <c r="R335" s="1">
        <f t="shared" si="139"/>
        <v>2639.3431950894137</v>
      </c>
      <c r="S335" s="1">
        <f t="shared" si="140"/>
        <v>9.782499999999999</v>
      </c>
      <c r="T335" s="60">
        <f t="shared" si="149"/>
        <v>11.738999999999997</v>
      </c>
      <c r="U335" s="101">
        <f t="shared" si="141"/>
        <v>21459.581151832463</v>
      </c>
      <c r="V335" s="102">
        <f t="shared" si="150"/>
        <v>8199.20436963351</v>
      </c>
      <c r="W335" s="102">
        <f t="shared" si="142"/>
        <v>17022.6</v>
      </c>
      <c r="X335" s="102">
        <f t="shared" si="143"/>
        <v>0</v>
      </c>
      <c r="Y335" s="103">
        <f t="shared" si="151"/>
        <v>0</v>
      </c>
      <c r="AB335" s="76"/>
      <c r="AC335" s="76"/>
      <c r="AD335" s="76"/>
      <c r="AE335" s="77"/>
      <c r="AF335" s="78"/>
      <c r="AG335" s="24"/>
      <c r="AH335" s="53"/>
      <c r="AI335" s="53"/>
      <c r="AJ335" s="53"/>
      <c r="AK335" s="53"/>
      <c r="AL335" s="53"/>
      <c r="AM335" s="1"/>
      <c r="AN335" s="1"/>
    </row>
    <row r="336" spans="2:40" ht="12.75">
      <c r="B336" s="122">
        <f t="shared" si="146"/>
        <v>39225.12327809382</v>
      </c>
      <c r="C336">
        <v>0</v>
      </c>
      <c r="D336" s="2">
        <v>0</v>
      </c>
      <c r="E336">
        <v>0.7</v>
      </c>
      <c r="F336">
        <f t="shared" si="133"/>
        <v>185.39999999999893</v>
      </c>
      <c r="G336" s="1">
        <f t="shared" si="147"/>
        <v>479.5295999999995</v>
      </c>
      <c r="H336" s="1">
        <f t="shared" si="145"/>
        <v>0</v>
      </c>
      <c r="I336">
        <v>60</v>
      </c>
      <c r="J336" s="64">
        <f t="shared" si="134"/>
        <v>60.000000000000014</v>
      </c>
      <c r="K336" s="117">
        <f t="shared" si="132"/>
        <v>0.000486111111111111</v>
      </c>
      <c r="L336" s="1">
        <f t="shared" si="135"/>
        <v>46681.38552146597</v>
      </c>
      <c r="M336" s="1">
        <f t="shared" si="148"/>
        <v>9093.77640028558</v>
      </c>
      <c r="N336" s="1">
        <f t="shared" si="144"/>
        <v>21000</v>
      </c>
      <c r="O336" s="74">
        <f t="shared" si="136"/>
        <v>0.43303697144217046</v>
      </c>
      <c r="P336" s="84">
        <f t="shared" si="137"/>
        <v>4</v>
      </c>
      <c r="Q336" s="1">
        <f t="shared" si="138"/>
        <v>6.847749999999997</v>
      </c>
      <c r="R336" s="1">
        <f t="shared" si="139"/>
        <v>2646.1909450894136</v>
      </c>
      <c r="S336" s="1">
        <f t="shared" si="140"/>
        <v>9.782499999999995</v>
      </c>
      <c r="T336" s="60">
        <f t="shared" si="149"/>
        <v>13.695499999999994</v>
      </c>
      <c r="U336" s="101">
        <f t="shared" si="141"/>
        <v>21459.581151832463</v>
      </c>
      <c r="V336" s="102">
        <f t="shared" si="150"/>
        <v>8199.20436963351</v>
      </c>
      <c r="W336" s="102">
        <f t="shared" si="142"/>
        <v>17022.6</v>
      </c>
      <c r="X336" s="102">
        <f t="shared" si="143"/>
        <v>0</v>
      </c>
      <c r="Y336" s="103">
        <f t="shared" si="151"/>
        <v>0</v>
      </c>
      <c r="AB336" s="76"/>
      <c r="AC336" s="76"/>
      <c r="AD336" s="76"/>
      <c r="AE336" s="77"/>
      <c r="AF336" s="78"/>
      <c r="AG336" s="24"/>
      <c r="AH336" s="53"/>
      <c r="AI336" s="53"/>
      <c r="AJ336" s="53"/>
      <c r="AK336" s="53"/>
      <c r="AL336" s="53"/>
      <c r="AM336" s="1"/>
      <c r="AN336" s="1"/>
    </row>
    <row r="337" spans="2:40" ht="12.75">
      <c r="B337" s="122">
        <f t="shared" si="146"/>
        <v>39225.12369476049</v>
      </c>
      <c r="C337">
        <v>0</v>
      </c>
      <c r="D337" s="2">
        <v>0</v>
      </c>
      <c r="E337">
        <v>0.6</v>
      </c>
      <c r="F337">
        <f t="shared" si="133"/>
        <v>185.99999999999892</v>
      </c>
      <c r="G337" s="1">
        <f t="shared" si="147"/>
        <v>479.5295999999995</v>
      </c>
      <c r="H337" s="1">
        <f t="shared" si="145"/>
        <v>0</v>
      </c>
      <c r="I337">
        <v>60</v>
      </c>
      <c r="J337" s="64">
        <f t="shared" si="134"/>
        <v>60.000000000000014</v>
      </c>
      <c r="K337" s="117">
        <f aca="true" t="shared" si="152" ref="K337:K373">(E337/J337)/24</f>
        <v>0.00041666666666666653</v>
      </c>
      <c r="L337" s="1">
        <f t="shared" si="135"/>
        <v>46681.38552146597</v>
      </c>
      <c r="M337" s="1">
        <f t="shared" si="148"/>
        <v>9093.77640028558</v>
      </c>
      <c r="N337" s="1">
        <f t="shared" si="144"/>
        <v>21000</v>
      </c>
      <c r="O337" s="74">
        <f t="shared" si="136"/>
        <v>0.43303697144217046</v>
      </c>
      <c r="P337" s="84">
        <f t="shared" si="137"/>
        <v>4</v>
      </c>
      <c r="Q337" s="1">
        <f t="shared" si="138"/>
        <v>5.869499999999999</v>
      </c>
      <c r="R337" s="1">
        <f t="shared" si="139"/>
        <v>2652.0604450894134</v>
      </c>
      <c r="S337" s="1">
        <f t="shared" si="140"/>
        <v>9.782499999999999</v>
      </c>
      <c r="T337" s="60">
        <f t="shared" si="149"/>
        <v>11.738999999999997</v>
      </c>
      <c r="U337" s="101">
        <f t="shared" si="141"/>
        <v>21459.581151832463</v>
      </c>
      <c r="V337" s="102">
        <f t="shared" si="150"/>
        <v>8199.20436963351</v>
      </c>
      <c r="W337" s="102">
        <f t="shared" si="142"/>
        <v>17022.6</v>
      </c>
      <c r="X337" s="102">
        <f t="shared" si="143"/>
        <v>0</v>
      </c>
      <c r="Y337" s="103">
        <f t="shared" si="151"/>
        <v>0</v>
      </c>
      <c r="AB337" s="76"/>
      <c r="AC337" s="76"/>
      <c r="AD337" s="76"/>
      <c r="AE337" s="77"/>
      <c r="AF337" s="78"/>
      <c r="AG337" s="24"/>
      <c r="AH337" s="53"/>
      <c r="AI337" s="53"/>
      <c r="AJ337" s="53"/>
      <c r="AK337" s="53"/>
      <c r="AL337" s="53"/>
      <c r="AM337" s="1"/>
      <c r="AN337" s="1"/>
    </row>
    <row r="338" spans="2:40" ht="12.75">
      <c r="B338" s="122">
        <f t="shared" si="146"/>
        <v>39225.12411142716</v>
      </c>
      <c r="C338">
        <v>0</v>
      </c>
      <c r="D338" s="2">
        <v>0</v>
      </c>
      <c r="E338">
        <v>0.6</v>
      </c>
      <c r="F338">
        <f t="shared" si="133"/>
        <v>186.59999999999891</v>
      </c>
      <c r="G338" s="1">
        <f t="shared" si="147"/>
        <v>479.5295999999995</v>
      </c>
      <c r="H338" s="1">
        <f t="shared" si="145"/>
        <v>0</v>
      </c>
      <c r="I338">
        <v>60</v>
      </c>
      <c r="J338" s="64">
        <f t="shared" si="134"/>
        <v>60.000000000000014</v>
      </c>
      <c r="K338" s="117">
        <f t="shared" si="152"/>
        <v>0.00041666666666666653</v>
      </c>
      <c r="L338" s="1">
        <f t="shared" si="135"/>
        <v>46681.38552146597</v>
      </c>
      <c r="M338" s="1">
        <f t="shared" si="148"/>
        <v>9093.77640028558</v>
      </c>
      <c r="N338" s="1">
        <f t="shared" si="144"/>
        <v>21000</v>
      </c>
      <c r="O338" s="74">
        <f t="shared" si="136"/>
        <v>0.43303697144217046</v>
      </c>
      <c r="P338" s="84">
        <f t="shared" si="137"/>
        <v>4</v>
      </c>
      <c r="Q338" s="1">
        <f t="shared" si="138"/>
        <v>5.869499999999999</v>
      </c>
      <c r="R338" s="1">
        <f t="shared" si="139"/>
        <v>2657.929945089413</v>
      </c>
      <c r="S338" s="1">
        <f t="shared" si="140"/>
        <v>9.782499999999999</v>
      </c>
      <c r="T338" s="60">
        <f t="shared" si="149"/>
        <v>11.738999999999997</v>
      </c>
      <c r="U338" s="101">
        <f t="shared" si="141"/>
        <v>21459.581151832463</v>
      </c>
      <c r="V338" s="102">
        <f t="shared" si="150"/>
        <v>8199.20436963351</v>
      </c>
      <c r="W338" s="102">
        <f t="shared" si="142"/>
        <v>17022.6</v>
      </c>
      <c r="X338" s="102">
        <f t="shared" si="143"/>
        <v>0</v>
      </c>
      <c r="Y338" s="103">
        <f t="shared" si="151"/>
        <v>0</v>
      </c>
      <c r="AB338" s="76"/>
      <c r="AC338" s="76"/>
      <c r="AD338" s="76"/>
      <c r="AE338" s="77"/>
      <c r="AF338" s="78"/>
      <c r="AG338" s="24"/>
      <c r="AH338" s="53"/>
      <c r="AI338" s="53"/>
      <c r="AJ338" s="53"/>
      <c r="AK338" s="53"/>
      <c r="AL338" s="53"/>
      <c r="AM338" s="1"/>
      <c r="AN338" s="1"/>
    </row>
    <row r="339" spans="2:40" ht="12.75">
      <c r="B339" s="122">
        <f t="shared" si="146"/>
        <v>39225.12452809383</v>
      </c>
      <c r="C339">
        <v>0</v>
      </c>
      <c r="D339" s="2">
        <v>0</v>
      </c>
      <c r="E339">
        <v>0.6</v>
      </c>
      <c r="F339">
        <f t="shared" si="133"/>
        <v>187.1999999999989</v>
      </c>
      <c r="G339" s="1">
        <f t="shared" si="147"/>
        <v>479.5295999999995</v>
      </c>
      <c r="H339" s="1">
        <f>IF(G339-G338&gt;0,G339-G338,0)</f>
        <v>0</v>
      </c>
      <c r="I339">
        <v>60</v>
      </c>
      <c r="J339" s="64">
        <f t="shared" si="134"/>
        <v>60.000000000000014</v>
      </c>
      <c r="K339" s="117">
        <f t="shared" si="152"/>
        <v>0.00041666666666666653</v>
      </c>
      <c r="L339" s="1">
        <f t="shared" si="135"/>
        <v>46681.38552146597</v>
      </c>
      <c r="M339" s="1">
        <f t="shared" si="148"/>
        <v>9093.77640028558</v>
      </c>
      <c r="N339" s="1">
        <f t="shared" si="144"/>
        <v>21000</v>
      </c>
      <c r="O339" s="74">
        <f t="shared" si="136"/>
        <v>0.43303697144217046</v>
      </c>
      <c r="P339" s="84">
        <f t="shared" si="137"/>
        <v>4</v>
      </c>
      <c r="Q339" s="1">
        <f t="shared" si="138"/>
        <v>5.869499999999999</v>
      </c>
      <c r="R339" s="1">
        <f t="shared" si="139"/>
        <v>2663.799445089413</v>
      </c>
      <c r="S339" s="1">
        <f t="shared" si="140"/>
        <v>9.782499999999999</v>
      </c>
      <c r="T339" s="60">
        <f t="shared" si="149"/>
        <v>11.738999999999997</v>
      </c>
      <c r="U339" s="101">
        <f t="shared" si="141"/>
        <v>21459.581151832463</v>
      </c>
      <c r="V339" s="102">
        <f t="shared" si="150"/>
        <v>8199.20436963351</v>
      </c>
      <c r="W339" s="102">
        <f t="shared" si="142"/>
        <v>17022.6</v>
      </c>
      <c r="X339" s="102">
        <f t="shared" si="143"/>
        <v>0</v>
      </c>
      <c r="Y339" s="103">
        <f t="shared" si="151"/>
        <v>0</v>
      </c>
      <c r="AB339" s="76"/>
      <c r="AC339" s="76"/>
      <c r="AD339" s="76"/>
      <c r="AE339" s="77"/>
      <c r="AF339" s="78"/>
      <c r="AG339" s="24"/>
      <c r="AH339" s="53"/>
      <c r="AI339" s="53"/>
      <c r="AJ339" s="53"/>
      <c r="AK339" s="53"/>
      <c r="AL339" s="53"/>
      <c r="AM339" s="1"/>
      <c r="AN339" s="1"/>
    </row>
    <row r="340" spans="2:40" ht="12.75">
      <c r="B340" s="122">
        <f t="shared" si="146"/>
        <v>39225.1249447605</v>
      </c>
      <c r="C340">
        <v>0</v>
      </c>
      <c r="D340" s="2">
        <v>0</v>
      </c>
      <c r="E340">
        <v>0.6</v>
      </c>
      <c r="F340">
        <f t="shared" si="133"/>
        <v>187.7999999999989</v>
      </c>
      <c r="G340" s="1">
        <f t="shared" si="147"/>
        <v>479.5295999999995</v>
      </c>
      <c r="H340" s="1">
        <f aca="true" t="shared" si="153" ref="H340:H359">IF(G340-G339&gt;0,G340-G339,0)</f>
        <v>0</v>
      </c>
      <c r="I340">
        <v>60</v>
      </c>
      <c r="J340" s="64">
        <f t="shared" si="134"/>
        <v>60.000000000000014</v>
      </c>
      <c r="K340" s="117">
        <f t="shared" si="152"/>
        <v>0.00041666666666666653</v>
      </c>
      <c r="L340" s="1">
        <f t="shared" si="135"/>
        <v>46681.38552146597</v>
      </c>
      <c r="M340" s="1">
        <f t="shared" si="148"/>
        <v>9093.77640028558</v>
      </c>
      <c r="N340" s="1">
        <f t="shared" si="144"/>
        <v>21000</v>
      </c>
      <c r="O340" s="74">
        <f t="shared" si="136"/>
        <v>0.43303697144217046</v>
      </c>
      <c r="P340" s="84">
        <f t="shared" si="137"/>
        <v>4</v>
      </c>
      <c r="Q340" s="1">
        <f t="shared" si="138"/>
        <v>5.869499999999999</v>
      </c>
      <c r="R340" s="1">
        <f t="shared" si="139"/>
        <v>2669.668945089413</v>
      </c>
      <c r="S340" s="1">
        <f t="shared" si="140"/>
        <v>9.782499999999999</v>
      </c>
      <c r="T340" s="60">
        <f t="shared" si="149"/>
        <v>11.738999999999997</v>
      </c>
      <c r="U340" s="101">
        <f t="shared" si="141"/>
        <v>21459.581151832463</v>
      </c>
      <c r="V340" s="102">
        <f t="shared" si="150"/>
        <v>8199.20436963351</v>
      </c>
      <c r="W340" s="102">
        <f t="shared" si="142"/>
        <v>17022.6</v>
      </c>
      <c r="X340" s="102">
        <f t="shared" si="143"/>
        <v>0</v>
      </c>
      <c r="Y340" s="103">
        <f t="shared" si="151"/>
        <v>0</v>
      </c>
      <c r="AB340" s="76"/>
      <c r="AC340" s="76"/>
      <c r="AD340" s="76"/>
      <c r="AE340" s="77"/>
      <c r="AF340" s="78"/>
      <c r="AG340" s="24"/>
      <c r="AH340" s="53"/>
      <c r="AI340" s="53"/>
      <c r="AJ340" s="53"/>
      <c r="AK340" s="53"/>
      <c r="AL340" s="53"/>
      <c r="AM340" s="1"/>
      <c r="AN340" s="1"/>
    </row>
    <row r="341" spans="2:40" ht="12.75">
      <c r="B341" s="122">
        <f t="shared" si="146"/>
        <v>39225.12536142717</v>
      </c>
      <c r="C341">
        <v>0</v>
      </c>
      <c r="D341" s="2">
        <v>0</v>
      </c>
      <c r="E341">
        <v>0.6</v>
      </c>
      <c r="F341">
        <f t="shared" si="133"/>
        <v>188.3999999999989</v>
      </c>
      <c r="G341" s="1">
        <f t="shared" si="147"/>
        <v>479.5295999999995</v>
      </c>
      <c r="H341" s="1">
        <f t="shared" si="153"/>
        <v>0</v>
      </c>
      <c r="I341">
        <v>60</v>
      </c>
      <c r="J341" s="64">
        <f t="shared" si="134"/>
        <v>60.000000000000014</v>
      </c>
      <c r="K341" s="117">
        <f t="shared" si="152"/>
        <v>0.00041666666666666653</v>
      </c>
      <c r="L341" s="1">
        <f t="shared" si="135"/>
        <v>46681.38552146597</v>
      </c>
      <c r="M341" s="1">
        <f t="shared" si="148"/>
        <v>9093.77640028558</v>
      </c>
      <c r="N341" s="1">
        <f t="shared" si="144"/>
        <v>21000</v>
      </c>
      <c r="O341" s="74">
        <f t="shared" si="136"/>
        <v>0.43303697144217046</v>
      </c>
      <c r="P341" s="84">
        <f t="shared" si="137"/>
        <v>4</v>
      </c>
      <c r="Q341" s="1">
        <f t="shared" si="138"/>
        <v>5.869499999999999</v>
      </c>
      <c r="R341" s="1">
        <f t="shared" si="139"/>
        <v>2675.5384450894126</v>
      </c>
      <c r="S341" s="1">
        <f t="shared" si="140"/>
        <v>9.782499999999999</v>
      </c>
      <c r="T341" s="60">
        <f t="shared" si="149"/>
        <v>11.738999999999997</v>
      </c>
      <c r="U341" s="101">
        <f t="shared" si="141"/>
        <v>21459.581151832463</v>
      </c>
      <c r="V341" s="102">
        <f t="shared" si="150"/>
        <v>8199.20436963351</v>
      </c>
      <c r="W341" s="102">
        <f t="shared" si="142"/>
        <v>17022.6</v>
      </c>
      <c r="X341" s="102">
        <f t="shared" si="143"/>
        <v>0</v>
      </c>
      <c r="Y341" s="103">
        <f t="shared" si="151"/>
        <v>0</v>
      </c>
      <c r="AB341" s="76"/>
      <c r="AC341" s="76"/>
      <c r="AD341" s="76"/>
      <c r="AE341" s="77"/>
      <c r="AF341" s="78"/>
      <c r="AG341" s="24"/>
      <c r="AH341" s="53"/>
      <c r="AI341" s="53"/>
      <c r="AJ341" s="53"/>
      <c r="AK341" s="53"/>
      <c r="AL341" s="53"/>
      <c r="AM341" s="1"/>
      <c r="AN341" s="1"/>
    </row>
    <row r="342" spans="2:40" ht="12.75">
      <c r="B342" s="122">
        <f t="shared" si="146"/>
        <v>39225.12570864939</v>
      </c>
      <c r="C342">
        <v>0</v>
      </c>
      <c r="D342" s="2">
        <v>0</v>
      </c>
      <c r="E342">
        <v>0.5</v>
      </c>
      <c r="F342">
        <f t="shared" si="133"/>
        <v>188.8999999999989</v>
      </c>
      <c r="G342" s="1">
        <f t="shared" si="147"/>
        <v>479.5295999999995</v>
      </c>
      <c r="H342" s="1">
        <f t="shared" si="153"/>
        <v>0</v>
      </c>
      <c r="I342">
        <v>60</v>
      </c>
      <c r="J342" s="64">
        <f t="shared" si="134"/>
        <v>60.000000000000014</v>
      </c>
      <c r="K342" s="117">
        <f t="shared" si="152"/>
        <v>0.0003472222222222221</v>
      </c>
      <c r="L342" s="1">
        <f t="shared" si="135"/>
        <v>46681.38552146597</v>
      </c>
      <c r="M342" s="1">
        <f t="shared" si="148"/>
        <v>9093.77640028558</v>
      </c>
      <c r="N342" s="1">
        <f t="shared" si="144"/>
        <v>21000</v>
      </c>
      <c r="O342" s="74">
        <f t="shared" si="136"/>
        <v>0.43303697144217046</v>
      </c>
      <c r="P342" s="84">
        <f t="shared" si="137"/>
        <v>4</v>
      </c>
      <c r="Q342" s="1">
        <f t="shared" si="138"/>
        <v>4.8912499999999985</v>
      </c>
      <c r="R342" s="1">
        <f t="shared" si="139"/>
        <v>2680.4296950894127</v>
      </c>
      <c r="S342" s="1">
        <f t="shared" si="140"/>
        <v>9.782499999999997</v>
      </c>
      <c r="T342" s="60">
        <f t="shared" si="149"/>
        <v>9.782499999999997</v>
      </c>
      <c r="U342" s="101">
        <f t="shared" si="141"/>
        <v>21459.581151832463</v>
      </c>
      <c r="V342" s="102">
        <f t="shared" si="150"/>
        <v>8199.20436963351</v>
      </c>
      <c r="W342" s="102">
        <f t="shared" si="142"/>
        <v>17022.6</v>
      </c>
      <c r="X342" s="102">
        <f t="shared" si="143"/>
        <v>0</v>
      </c>
      <c r="Y342" s="103">
        <f t="shared" si="151"/>
        <v>0</v>
      </c>
      <c r="AB342" s="76"/>
      <c r="AC342" s="76"/>
      <c r="AD342" s="76"/>
      <c r="AE342" s="77"/>
      <c r="AF342" s="78"/>
      <c r="AG342" s="24"/>
      <c r="AH342" s="53"/>
      <c r="AI342" s="53"/>
      <c r="AJ342" s="53"/>
      <c r="AK342" s="53"/>
      <c r="AL342" s="53"/>
      <c r="AM342" s="1"/>
      <c r="AN342" s="1"/>
    </row>
    <row r="343" spans="2:40" ht="12.75">
      <c r="B343" s="122">
        <f t="shared" si="146"/>
        <v>39225.12612531606</v>
      </c>
      <c r="C343">
        <v>0</v>
      </c>
      <c r="D343" s="2">
        <v>0</v>
      </c>
      <c r="E343">
        <v>0.6</v>
      </c>
      <c r="F343">
        <f t="shared" si="133"/>
        <v>189.4999999999989</v>
      </c>
      <c r="G343" s="1">
        <f t="shared" si="147"/>
        <v>479.5295999999995</v>
      </c>
      <c r="H343" s="1">
        <f t="shared" si="153"/>
        <v>0</v>
      </c>
      <c r="I343">
        <v>60</v>
      </c>
      <c r="J343" s="64">
        <f t="shared" si="134"/>
        <v>60.000000000000014</v>
      </c>
      <c r="K343" s="117">
        <f t="shared" si="152"/>
        <v>0.00041666666666666653</v>
      </c>
      <c r="L343" s="1">
        <f t="shared" si="135"/>
        <v>46681.38552146597</v>
      </c>
      <c r="M343" s="1">
        <f t="shared" si="148"/>
        <v>9093.77640028558</v>
      </c>
      <c r="N343" s="1">
        <f t="shared" si="144"/>
        <v>21000</v>
      </c>
      <c r="O343" s="74">
        <f t="shared" si="136"/>
        <v>0.43303697144217046</v>
      </c>
      <c r="P343" s="84">
        <f t="shared" si="137"/>
        <v>4</v>
      </c>
      <c r="Q343" s="1">
        <f t="shared" si="138"/>
        <v>5.869499999999999</v>
      </c>
      <c r="R343" s="1">
        <f t="shared" si="139"/>
        <v>2686.2991950894125</v>
      </c>
      <c r="S343" s="1">
        <f t="shared" si="140"/>
        <v>9.782499999999999</v>
      </c>
      <c r="T343" s="60">
        <f t="shared" si="149"/>
        <v>11.738999999999997</v>
      </c>
      <c r="U343" s="101">
        <f t="shared" si="141"/>
        <v>21459.581151832463</v>
      </c>
      <c r="V343" s="102">
        <f t="shared" si="150"/>
        <v>8199.20436963351</v>
      </c>
      <c r="W343" s="102">
        <f t="shared" si="142"/>
        <v>17022.6</v>
      </c>
      <c r="X343" s="102">
        <f t="shared" si="143"/>
        <v>0</v>
      </c>
      <c r="Y343" s="103">
        <f t="shared" si="151"/>
        <v>0</v>
      </c>
      <c r="AB343" s="76"/>
      <c r="AC343" s="76"/>
      <c r="AD343" s="76"/>
      <c r="AE343" s="77"/>
      <c r="AF343" s="78"/>
      <c r="AG343" s="24"/>
      <c r="AH343" s="53"/>
      <c r="AI343" s="53"/>
      <c r="AJ343" s="53"/>
      <c r="AK343" s="53"/>
      <c r="AL343" s="53"/>
      <c r="AM343" s="1"/>
      <c r="AN343" s="1"/>
    </row>
    <row r="344" spans="2:40" ht="12.75">
      <c r="B344" s="122">
        <f t="shared" si="146"/>
        <v>39225.12654198273</v>
      </c>
      <c r="C344">
        <v>0</v>
      </c>
      <c r="D344" s="2">
        <v>-0.005</v>
      </c>
      <c r="E344">
        <v>0.6</v>
      </c>
      <c r="F344">
        <f t="shared" si="133"/>
        <v>190.0999999999989</v>
      </c>
      <c r="G344" s="1">
        <f t="shared" si="147"/>
        <v>463.68959999999953</v>
      </c>
      <c r="H344" s="1">
        <f t="shared" si="153"/>
        <v>0</v>
      </c>
      <c r="I344">
        <v>60</v>
      </c>
      <c r="J344" s="64">
        <f t="shared" si="134"/>
        <v>59.99999999999999</v>
      </c>
      <c r="K344" s="117">
        <f t="shared" si="152"/>
        <v>0.0004166666666666667</v>
      </c>
      <c r="L344" s="1">
        <f t="shared" si="135"/>
        <v>-10152.314478534026</v>
      </c>
      <c r="M344" s="1">
        <f t="shared" si="148"/>
        <v>-1977.7235997144205</v>
      </c>
      <c r="N344" s="1">
        <f t="shared" si="144"/>
        <v>21000</v>
      </c>
      <c r="O344" s="74">
        <f t="shared" si="136"/>
        <v>-0.09417731427211526</v>
      </c>
      <c r="P344" s="84">
        <f t="shared" si="137"/>
        <v>1</v>
      </c>
      <c r="Q344" s="1">
        <f t="shared" si="138"/>
        <v>1.467375</v>
      </c>
      <c r="R344" s="1">
        <f t="shared" si="139"/>
        <v>2687.7665700894127</v>
      </c>
      <c r="S344" s="1">
        <f t="shared" si="140"/>
        <v>2.445625</v>
      </c>
      <c r="T344" s="60">
        <f t="shared" si="149"/>
        <v>2.93475</v>
      </c>
      <c r="U344" s="101">
        <f t="shared" si="141"/>
        <v>21459.581151832463</v>
      </c>
      <c r="V344" s="102">
        <f t="shared" si="150"/>
        <v>8199.20436963351</v>
      </c>
      <c r="W344" s="102">
        <f t="shared" si="142"/>
        <v>17022.6</v>
      </c>
      <c r="X344" s="102">
        <f t="shared" si="143"/>
        <v>-56833.7</v>
      </c>
      <c r="Y344" s="103">
        <f t="shared" si="151"/>
        <v>0</v>
      </c>
      <c r="AB344" s="76"/>
      <c r="AC344" s="76"/>
      <c r="AD344" s="76"/>
      <c r="AE344" s="77"/>
      <c r="AF344" s="78"/>
      <c r="AG344" s="24"/>
      <c r="AH344" s="53"/>
      <c r="AI344" s="53"/>
      <c r="AJ344" s="53"/>
      <c r="AK344" s="53"/>
      <c r="AL344" s="53"/>
      <c r="AM344" s="1"/>
      <c r="AN344" s="1"/>
    </row>
    <row r="345" spans="2:40" ht="12.75">
      <c r="B345" s="122">
        <f t="shared" si="146"/>
        <v>39225.1269586494</v>
      </c>
      <c r="C345">
        <v>5</v>
      </c>
      <c r="D345" s="2">
        <v>-0.005</v>
      </c>
      <c r="E345">
        <v>0.6</v>
      </c>
      <c r="F345">
        <f t="shared" si="133"/>
        <v>190.69999999999888</v>
      </c>
      <c r="G345" s="1">
        <f t="shared" si="147"/>
        <v>447.84959999999955</v>
      </c>
      <c r="H345" s="1">
        <f t="shared" si="153"/>
        <v>0</v>
      </c>
      <c r="I345">
        <v>60</v>
      </c>
      <c r="J345" s="64">
        <f t="shared" si="134"/>
        <v>60</v>
      </c>
      <c r="K345" s="117">
        <f t="shared" si="152"/>
        <v>0.0004166666666666667</v>
      </c>
      <c r="L345" s="1">
        <f t="shared" si="135"/>
        <v>69230.35952146597</v>
      </c>
      <c r="M345" s="1">
        <f t="shared" si="148"/>
        <v>13486.433673012853</v>
      </c>
      <c r="N345" s="1">
        <f t="shared" si="144"/>
        <v>21000</v>
      </c>
      <c r="O345" s="74">
        <f t="shared" si="136"/>
        <v>0.6422111272863263</v>
      </c>
      <c r="P345" s="84">
        <f t="shared" si="137"/>
        <v>5</v>
      </c>
      <c r="Q345" s="1">
        <f t="shared" si="138"/>
        <v>7.336875000000001</v>
      </c>
      <c r="R345" s="1">
        <f t="shared" si="139"/>
        <v>2695.1034450894126</v>
      </c>
      <c r="S345" s="1">
        <f t="shared" si="140"/>
        <v>12.228125000000002</v>
      </c>
      <c r="T345" s="60">
        <f t="shared" si="149"/>
        <v>14.673750000000002</v>
      </c>
      <c r="U345" s="101">
        <f t="shared" si="141"/>
        <v>21459.581151832463</v>
      </c>
      <c r="V345" s="102">
        <f t="shared" si="150"/>
        <v>8199.20436963351</v>
      </c>
      <c r="W345" s="102">
        <f t="shared" si="142"/>
        <v>17022.6</v>
      </c>
      <c r="X345" s="102">
        <f t="shared" si="143"/>
        <v>-56833.7</v>
      </c>
      <c r="Y345" s="103">
        <f>(IF(E345*5280&lt;$AE$8,($AB$14*(0.8*C344*((VLOOKUP($AB$12,$AA$27:$AH$33,7,0))/2000/2000))*$AE$7),0)+$AB$11*(0.8*C345*(VLOOKUP($AB$10,$AA$36:$AI$44,9,0))/2000)+$AB$14*(0.8*C345*((VLOOKUP($AB$12,$AA$27:$AH$33,7,0))/2000/2000))*$AE$7)</f>
        <v>79382.674</v>
      </c>
      <c r="AB345" s="76"/>
      <c r="AC345" s="76"/>
      <c r="AD345" s="76"/>
      <c r="AE345" s="77"/>
      <c r="AF345" s="78"/>
      <c r="AG345" s="24"/>
      <c r="AH345" s="53"/>
      <c r="AI345" s="53"/>
      <c r="AJ345" s="53"/>
      <c r="AK345" s="53"/>
      <c r="AL345" s="53"/>
      <c r="AM345" s="1"/>
      <c r="AN345" s="1"/>
    </row>
    <row r="346" spans="2:40" ht="12.75">
      <c r="B346" s="122">
        <f t="shared" si="146"/>
        <v>39225.12716698273</v>
      </c>
      <c r="C346">
        <v>0</v>
      </c>
      <c r="D346" s="2">
        <v>-0.006</v>
      </c>
      <c r="E346">
        <v>0.3</v>
      </c>
      <c r="F346">
        <f t="shared" si="133"/>
        <v>190.9999999999989</v>
      </c>
      <c r="G346" s="1">
        <f t="shared" si="147"/>
        <v>438.34559999999954</v>
      </c>
      <c r="H346" s="1">
        <f t="shared" si="153"/>
        <v>0</v>
      </c>
      <c r="I346">
        <v>60</v>
      </c>
      <c r="J346" s="64">
        <f t="shared" si="134"/>
        <v>59.99999999999999</v>
      </c>
      <c r="K346" s="117">
        <f t="shared" si="152"/>
        <v>0.00020833333333333335</v>
      </c>
      <c r="L346" s="1">
        <f t="shared" si="135"/>
        <v>57860.94552146597</v>
      </c>
      <c r="M346" s="1">
        <f t="shared" si="148"/>
        <v>11271.612763921941</v>
      </c>
      <c r="N346" s="1">
        <f t="shared" si="144"/>
        <v>21000</v>
      </c>
      <c r="O346" s="74">
        <f t="shared" si="136"/>
        <v>0.5367434649486639</v>
      </c>
      <c r="P346" s="84">
        <f t="shared" si="137"/>
        <v>4</v>
      </c>
      <c r="Q346" s="1">
        <f t="shared" si="138"/>
        <v>2.93475</v>
      </c>
      <c r="R346" s="1">
        <f t="shared" si="139"/>
        <v>2698.0381950894125</v>
      </c>
      <c r="S346" s="1">
        <f t="shared" si="140"/>
        <v>9.7825</v>
      </c>
      <c r="T346" s="60">
        <f t="shared" si="149"/>
        <v>5.8695</v>
      </c>
      <c r="U346" s="101">
        <f t="shared" si="141"/>
        <v>21459.581151832463</v>
      </c>
      <c r="V346" s="102">
        <f t="shared" si="150"/>
        <v>8199.20436963351</v>
      </c>
      <c r="W346" s="102">
        <f t="shared" si="142"/>
        <v>17022.6</v>
      </c>
      <c r="X346" s="102">
        <f t="shared" si="143"/>
        <v>-68200.44</v>
      </c>
      <c r="Y346" s="103">
        <f t="shared" si="151"/>
        <v>79380</v>
      </c>
      <c r="AB346" s="76"/>
      <c r="AC346" s="76"/>
      <c r="AD346" s="76"/>
      <c r="AE346" s="77"/>
      <c r="AF346" s="78"/>
      <c r="AG346" s="24"/>
      <c r="AH346" s="53"/>
      <c r="AI346" s="53"/>
      <c r="AJ346" s="53"/>
      <c r="AK346" s="53"/>
      <c r="AL346" s="53"/>
      <c r="AM346" s="1"/>
      <c r="AN346" s="1"/>
    </row>
    <row r="347" spans="2:40" ht="12.75">
      <c r="B347" s="122">
        <f t="shared" si="146"/>
        <v>39225.1275836494</v>
      </c>
      <c r="C347">
        <v>0</v>
      </c>
      <c r="D347" s="2">
        <v>-0.005</v>
      </c>
      <c r="E347">
        <v>0.6</v>
      </c>
      <c r="F347">
        <f t="shared" si="133"/>
        <v>191.5999999999989</v>
      </c>
      <c r="G347" s="1">
        <f t="shared" si="147"/>
        <v>422.50559999999956</v>
      </c>
      <c r="H347" s="1">
        <f t="shared" si="153"/>
        <v>0</v>
      </c>
      <c r="I347">
        <v>60</v>
      </c>
      <c r="J347" s="64">
        <f t="shared" si="134"/>
        <v>59.99999999999999</v>
      </c>
      <c r="K347" s="117">
        <f t="shared" si="152"/>
        <v>0.0004166666666666667</v>
      </c>
      <c r="L347" s="1">
        <f t="shared" si="135"/>
        <v>-10152.314478534026</v>
      </c>
      <c r="M347" s="1">
        <f t="shared" si="148"/>
        <v>-1977.7235997144205</v>
      </c>
      <c r="N347" s="1">
        <f t="shared" si="144"/>
        <v>21000</v>
      </c>
      <c r="O347" s="74">
        <f t="shared" si="136"/>
        <v>-0.09417731427211526</v>
      </c>
      <c r="P347" s="84">
        <f t="shared" si="137"/>
        <v>1</v>
      </c>
      <c r="Q347" s="1">
        <f t="shared" si="138"/>
        <v>1.467375</v>
      </c>
      <c r="R347" s="1">
        <f t="shared" si="139"/>
        <v>2699.5055700894127</v>
      </c>
      <c r="S347" s="1">
        <f t="shared" si="140"/>
        <v>2.445625</v>
      </c>
      <c r="T347" s="60">
        <f t="shared" si="149"/>
        <v>2.93475</v>
      </c>
      <c r="U347" s="101">
        <f t="shared" si="141"/>
        <v>21459.581151832463</v>
      </c>
      <c r="V347" s="102">
        <f t="shared" si="150"/>
        <v>8199.20436963351</v>
      </c>
      <c r="W347" s="102">
        <f t="shared" si="142"/>
        <v>17022.6</v>
      </c>
      <c r="X347" s="102">
        <f t="shared" si="143"/>
        <v>-56833.7</v>
      </c>
      <c r="Y347" s="103">
        <f t="shared" si="151"/>
        <v>0</v>
      </c>
      <c r="AB347" s="76"/>
      <c r="AC347" s="76"/>
      <c r="AD347" s="76"/>
      <c r="AE347" s="77"/>
      <c r="AF347" s="78"/>
      <c r="AG347" s="24"/>
      <c r="AH347" s="53"/>
      <c r="AI347" s="53"/>
      <c r="AJ347" s="53"/>
      <c r="AK347" s="53"/>
      <c r="AL347" s="53"/>
      <c r="AM347" s="1"/>
      <c r="AN347" s="1"/>
    </row>
    <row r="348" spans="2:40" ht="12.75">
      <c r="B348" s="122">
        <f t="shared" si="146"/>
        <v>39225.12800031607</v>
      </c>
      <c r="C348">
        <v>0</v>
      </c>
      <c r="D348" s="2">
        <v>-0.005</v>
      </c>
      <c r="E348">
        <v>0.6</v>
      </c>
      <c r="F348">
        <f t="shared" si="133"/>
        <v>192.19999999999888</v>
      </c>
      <c r="G348" s="1">
        <f t="shared" si="147"/>
        <v>406.6655999999996</v>
      </c>
      <c r="H348" s="1">
        <f t="shared" si="153"/>
        <v>0</v>
      </c>
      <c r="I348">
        <v>60</v>
      </c>
      <c r="J348" s="64">
        <f t="shared" si="134"/>
        <v>59.99999999999999</v>
      </c>
      <c r="K348" s="117">
        <f t="shared" si="152"/>
        <v>0.0004166666666666667</v>
      </c>
      <c r="L348" s="1">
        <f t="shared" si="135"/>
        <v>-10152.314478534026</v>
      </c>
      <c r="M348" s="1">
        <f t="shared" si="148"/>
        <v>-1977.7235997144205</v>
      </c>
      <c r="N348" s="1">
        <f t="shared" si="144"/>
        <v>21000</v>
      </c>
      <c r="O348" s="74">
        <f t="shared" si="136"/>
        <v>-0.09417731427211526</v>
      </c>
      <c r="P348" s="84">
        <f t="shared" si="137"/>
        <v>1</v>
      </c>
      <c r="Q348" s="1">
        <f t="shared" si="138"/>
        <v>1.467375</v>
      </c>
      <c r="R348" s="1">
        <f t="shared" si="139"/>
        <v>2700.972945089413</v>
      </c>
      <c r="S348" s="1">
        <f t="shared" si="140"/>
        <v>2.445625</v>
      </c>
      <c r="T348" s="60">
        <f t="shared" si="149"/>
        <v>2.93475</v>
      </c>
      <c r="U348" s="101">
        <f t="shared" si="141"/>
        <v>21459.581151832463</v>
      </c>
      <c r="V348" s="102">
        <f t="shared" si="150"/>
        <v>8199.20436963351</v>
      </c>
      <c r="W348" s="102">
        <f t="shared" si="142"/>
        <v>17022.6</v>
      </c>
      <c r="X348" s="102">
        <f t="shared" si="143"/>
        <v>-56833.7</v>
      </c>
      <c r="Y348" s="103">
        <f t="shared" si="151"/>
        <v>0</v>
      </c>
      <c r="AB348" s="76"/>
      <c r="AC348" s="76"/>
      <c r="AD348" s="76"/>
      <c r="AE348" s="77"/>
      <c r="AF348" s="78"/>
      <c r="AG348" s="24"/>
      <c r="AH348" s="53"/>
      <c r="AI348" s="53"/>
      <c r="AJ348" s="53"/>
      <c r="AK348" s="53"/>
      <c r="AL348" s="53"/>
      <c r="AM348" s="1"/>
      <c r="AN348" s="1"/>
    </row>
    <row r="349" spans="2:40" ht="12.75">
      <c r="B349" s="122">
        <f t="shared" si="146"/>
        <v>39225.12841698274</v>
      </c>
      <c r="C349">
        <v>0</v>
      </c>
      <c r="D349" s="2">
        <v>-0.004</v>
      </c>
      <c r="E349">
        <v>0.6</v>
      </c>
      <c r="F349">
        <f t="shared" si="133"/>
        <v>192.79999999999887</v>
      </c>
      <c r="G349" s="1">
        <f t="shared" si="147"/>
        <v>393.99359999999956</v>
      </c>
      <c r="H349" s="1">
        <f t="shared" si="153"/>
        <v>0</v>
      </c>
      <c r="I349">
        <v>60</v>
      </c>
      <c r="J349" s="64">
        <f t="shared" si="134"/>
        <v>60</v>
      </c>
      <c r="K349" s="117">
        <f t="shared" si="152"/>
        <v>0.0004166666666666667</v>
      </c>
      <c r="L349" s="1">
        <f t="shared" si="135"/>
        <v>1214.4255214659715</v>
      </c>
      <c r="M349" s="1">
        <f t="shared" si="148"/>
        <v>236.57640028557887</v>
      </c>
      <c r="N349" s="1">
        <f t="shared" si="144"/>
        <v>21000</v>
      </c>
      <c r="O349" s="74">
        <f t="shared" si="136"/>
        <v>0.011265542870741852</v>
      </c>
      <c r="P349" s="84">
        <f t="shared" si="137"/>
        <v>1</v>
      </c>
      <c r="Q349" s="1">
        <f t="shared" si="138"/>
        <v>1.467375</v>
      </c>
      <c r="R349" s="1">
        <f t="shared" si="139"/>
        <v>2702.440320089413</v>
      </c>
      <c r="S349" s="1">
        <f t="shared" si="140"/>
        <v>2.445625</v>
      </c>
      <c r="T349" s="60">
        <f t="shared" si="149"/>
        <v>2.93475</v>
      </c>
      <c r="U349" s="101">
        <f t="shared" si="141"/>
        <v>21459.581151832463</v>
      </c>
      <c r="V349" s="102">
        <f t="shared" si="150"/>
        <v>8199.20436963351</v>
      </c>
      <c r="W349" s="102">
        <f t="shared" si="142"/>
        <v>17022.6</v>
      </c>
      <c r="X349" s="102">
        <f t="shared" si="143"/>
        <v>-45466.96</v>
      </c>
      <c r="Y349" s="103">
        <f t="shared" si="151"/>
        <v>0</v>
      </c>
      <c r="AB349" s="76"/>
      <c r="AC349" s="76"/>
      <c r="AD349" s="76"/>
      <c r="AE349" s="77"/>
      <c r="AF349" s="78"/>
      <c r="AG349" s="24"/>
      <c r="AH349" s="53"/>
      <c r="AI349" s="53"/>
      <c r="AJ349" s="53"/>
      <c r="AK349" s="53"/>
      <c r="AL349" s="53"/>
      <c r="AM349" s="1"/>
      <c r="AN349" s="1"/>
    </row>
    <row r="350" spans="2:40" ht="12.75">
      <c r="B350" s="122">
        <f t="shared" si="146"/>
        <v>39225.12883364941</v>
      </c>
      <c r="C350">
        <v>0</v>
      </c>
      <c r="D350" s="2">
        <v>-0.004</v>
      </c>
      <c r="E350">
        <v>0.6</v>
      </c>
      <c r="F350">
        <f t="shared" si="133"/>
        <v>193.39999999999887</v>
      </c>
      <c r="G350" s="1">
        <f t="shared" si="147"/>
        <v>381.32159999999953</v>
      </c>
      <c r="H350" s="1">
        <f t="shared" si="153"/>
        <v>0</v>
      </c>
      <c r="I350">
        <v>60</v>
      </c>
      <c r="J350" s="64">
        <f t="shared" si="134"/>
        <v>60</v>
      </c>
      <c r="K350" s="117">
        <f t="shared" si="152"/>
        <v>0.0004166666666666667</v>
      </c>
      <c r="L350" s="1">
        <f t="shared" si="135"/>
        <v>1214.4255214659715</v>
      </c>
      <c r="M350" s="1">
        <f t="shared" si="148"/>
        <v>236.57640028557887</v>
      </c>
      <c r="N350" s="1">
        <f t="shared" si="144"/>
        <v>21000</v>
      </c>
      <c r="O350" s="74">
        <f t="shared" si="136"/>
        <v>0.011265542870741852</v>
      </c>
      <c r="P350" s="84">
        <f t="shared" si="137"/>
        <v>1</v>
      </c>
      <c r="Q350" s="1">
        <f t="shared" si="138"/>
        <v>1.467375</v>
      </c>
      <c r="R350" s="1">
        <f t="shared" si="139"/>
        <v>2703.907695089413</v>
      </c>
      <c r="S350" s="1">
        <f t="shared" si="140"/>
        <v>2.445625</v>
      </c>
      <c r="T350" s="60">
        <f t="shared" si="149"/>
        <v>2.93475</v>
      </c>
      <c r="U350" s="101">
        <f t="shared" si="141"/>
        <v>21459.581151832463</v>
      </c>
      <c r="V350" s="102">
        <f t="shared" si="150"/>
        <v>8199.20436963351</v>
      </c>
      <c r="W350" s="102">
        <f t="shared" si="142"/>
        <v>17022.6</v>
      </c>
      <c r="X350" s="102">
        <f t="shared" si="143"/>
        <v>-45466.96</v>
      </c>
      <c r="Y350" s="103">
        <f t="shared" si="151"/>
        <v>0</v>
      </c>
      <c r="AB350" s="76"/>
      <c r="AC350" s="76"/>
      <c r="AD350" s="76"/>
      <c r="AE350" s="77"/>
      <c r="AF350" s="78"/>
      <c r="AG350" s="24"/>
      <c r="AH350" s="53"/>
      <c r="AI350" s="53"/>
      <c r="AJ350" s="53"/>
      <c r="AK350" s="53"/>
      <c r="AL350" s="53"/>
      <c r="AM350" s="1"/>
      <c r="AN350" s="1"/>
    </row>
    <row r="351" spans="2:40" ht="12.75">
      <c r="B351" s="122">
        <f t="shared" si="146"/>
        <v>39225.12925031608</v>
      </c>
      <c r="C351">
        <v>0</v>
      </c>
      <c r="D351" s="2">
        <v>-0.004</v>
      </c>
      <c r="E351">
        <v>0.6</v>
      </c>
      <c r="F351">
        <f t="shared" si="133"/>
        <v>193.99999999999886</v>
      </c>
      <c r="G351" s="1">
        <f t="shared" si="147"/>
        <v>368.6495999999995</v>
      </c>
      <c r="H351" s="1">
        <f t="shared" si="153"/>
        <v>0</v>
      </c>
      <c r="I351">
        <v>60</v>
      </c>
      <c r="J351" s="64">
        <f t="shared" si="134"/>
        <v>60</v>
      </c>
      <c r="K351" s="117">
        <f t="shared" si="152"/>
        <v>0.0004166666666666667</v>
      </c>
      <c r="L351" s="1">
        <f t="shared" si="135"/>
        <v>1214.4255214659715</v>
      </c>
      <c r="M351" s="1">
        <f t="shared" si="148"/>
        <v>236.57640028557887</v>
      </c>
      <c r="N351" s="1">
        <f t="shared" si="144"/>
        <v>21000</v>
      </c>
      <c r="O351" s="74">
        <f t="shared" si="136"/>
        <v>0.011265542870741852</v>
      </c>
      <c r="P351" s="84">
        <f t="shared" si="137"/>
        <v>1</v>
      </c>
      <c r="Q351" s="1">
        <f t="shared" si="138"/>
        <v>1.467375</v>
      </c>
      <c r="R351" s="1">
        <f t="shared" si="139"/>
        <v>2705.3750700894134</v>
      </c>
      <c r="S351" s="1">
        <f t="shared" si="140"/>
        <v>2.445625</v>
      </c>
      <c r="T351" s="60">
        <f t="shared" si="149"/>
        <v>2.93475</v>
      </c>
      <c r="U351" s="101">
        <f t="shared" si="141"/>
        <v>21459.581151832463</v>
      </c>
      <c r="V351" s="102">
        <f t="shared" si="150"/>
        <v>8199.20436963351</v>
      </c>
      <c r="W351" s="102">
        <f t="shared" si="142"/>
        <v>17022.6</v>
      </c>
      <c r="X351" s="102">
        <f t="shared" si="143"/>
        <v>-45466.96</v>
      </c>
      <c r="Y351" s="103">
        <f t="shared" si="151"/>
        <v>0</v>
      </c>
      <c r="AB351" s="76"/>
      <c r="AC351" s="76"/>
      <c r="AD351" s="76"/>
      <c r="AE351" s="77"/>
      <c r="AF351" s="78"/>
      <c r="AG351" s="24"/>
      <c r="AH351" s="53"/>
      <c r="AI351" s="53"/>
      <c r="AJ351" s="53"/>
      <c r="AK351" s="53"/>
      <c r="AL351" s="53"/>
      <c r="AM351" s="1"/>
      <c r="AN351" s="1"/>
    </row>
    <row r="352" spans="2:40" ht="12.75">
      <c r="B352" s="122">
        <f t="shared" si="146"/>
        <v>39225.129805871635</v>
      </c>
      <c r="C352">
        <v>3</v>
      </c>
      <c r="D352" s="2">
        <v>-0.003</v>
      </c>
      <c r="E352">
        <v>0.6</v>
      </c>
      <c r="F352">
        <f t="shared" si="133"/>
        <v>194.59999999999886</v>
      </c>
      <c r="G352" s="1">
        <f t="shared" si="147"/>
        <v>359.1455999999995</v>
      </c>
      <c r="H352" s="1">
        <f t="shared" si="153"/>
        <v>0</v>
      </c>
      <c r="I352">
        <v>45</v>
      </c>
      <c r="J352" s="64">
        <f t="shared" si="134"/>
        <v>45</v>
      </c>
      <c r="K352" s="117">
        <f t="shared" si="152"/>
        <v>0.0005555555555555556</v>
      </c>
      <c r="L352" s="1">
        <f t="shared" si="135"/>
        <v>46566.55316753927</v>
      </c>
      <c r="M352" s="1">
        <f t="shared" si="148"/>
        <v>6803.554845906711</v>
      </c>
      <c r="N352" s="1">
        <f t="shared" si="144"/>
        <v>21000</v>
      </c>
      <c r="O352" s="74">
        <f t="shared" si="136"/>
        <v>0.32397880218603387</v>
      </c>
      <c r="P352" s="84">
        <f t="shared" si="137"/>
        <v>3</v>
      </c>
      <c r="Q352" s="1">
        <f t="shared" si="138"/>
        <v>5.8694999999999995</v>
      </c>
      <c r="R352" s="1">
        <f t="shared" si="139"/>
        <v>2711.244570089413</v>
      </c>
      <c r="S352" s="1">
        <f t="shared" si="140"/>
        <v>9.782499999999999</v>
      </c>
      <c r="T352" s="60">
        <f t="shared" si="149"/>
        <v>11.738999999999999</v>
      </c>
      <c r="U352" s="101">
        <f t="shared" si="141"/>
        <v>12071.01439790576</v>
      </c>
      <c r="V352" s="102">
        <f t="shared" si="150"/>
        <v>8199.20436963351</v>
      </c>
      <c r="W352" s="102">
        <f t="shared" si="142"/>
        <v>12766.95</v>
      </c>
      <c r="X352" s="102">
        <f t="shared" si="143"/>
        <v>-34100.22</v>
      </c>
      <c r="Y352" s="103">
        <f t="shared" si="151"/>
        <v>47629.6044</v>
      </c>
      <c r="AB352" s="76"/>
      <c r="AC352" s="76"/>
      <c r="AD352" s="76"/>
      <c r="AE352" s="77"/>
      <c r="AF352" s="78"/>
      <c r="AG352" s="24"/>
      <c r="AH352" s="53"/>
      <c r="AI352" s="53"/>
      <c r="AJ352" s="53"/>
      <c r="AK352" s="53"/>
      <c r="AL352" s="53"/>
      <c r="AM352" s="1"/>
      <c r="AN352" s="1"/>
    </row>
    <row r="353" spans="2:40" ht="12.75">
      <c r="B353" s="122">
        <f t="shared" si="146"/>
        <v>39225.13036142719</v>
      </c>
      <c r="C353">
        <v>0</v>
      </c>
      <c r="D353" s="2">
        <v>-0.003</v>
      </c>
      <c r="E353">
        <v>0.6</v>
      </c>
      <c r="F353">
        <f t="shared" si="133"/>
        <v>195.19999999999885</v>
      </c>
      <c r="G353" s="1">
        <f t="shared" si="147"/>
        <v>349.64159999999947</v>
      </c>
      <c r="H353" s="1">
        <f t="shared" si="153"/>
        <v>0</v>
      </c>
      <c r="I353">
        <v>45</v>
      </c>
      <c r="J353" s="64">
        <f t="shared" si="134"/>
        <v>45</v>
      </c>
      <c r="K353" s="117">
        <f t="shared" si="152"/>
        <v>0.0005555555555555556</v>
      </c>
      <c r="L353" s="1">
        <f t="shared" si="135"/>
        <v>46564.948767539274</v>
      </c>
      <c r="M353" s="1">
        <f t="shared" si="148"/>
        <v>6803.320436815803</v>
      </c>
      <c r="N353" s="1">
        <f t="shared" si="144"/>
        <v>21000</v>
      </c>
      <c r="O353" s="74">
        <f t="shared" si="136"/>
        <v>0.32396763984837157</v>
      </c>
      <c r="P353" s="84">
        <f t="shared" si="137"/>
        <v>3</v>
      </c>
      <c r="Q353" s="1">
        <f t="shared" si="138"/>
        <v>5.8694999999999995</v>
      </c>
      <c r="R353" s="1">
        <f t="shared" si="139"/>
        <v>2717.114070089413</v>
      </c>
      <c r="S353" s="1">
        <f t="shared" si="140"/>
        <v>9.782499999999999</v>
      </c>
      <c r="T353" s="60">
        <f t="shared" si="149"/>
        <v>11.738999999999999</v>
      </c>
      <c r="U353" s="101">
        <f t="shared" si="141"/>
        <v>12071.01439790576</v>
      </c>
      <c r="V353" s="102">
        <f t="shared" si="150"/>
        <v>8199.20436963351</v>
      </c>
      <c r="W353" s="102">
        <f t="shared" si="142"/>
        <v>12766.95</v>
      </c>
      <c r="X353" s="102">
        <f t="shared" si="143"/>
        <v>-34100.22</v>
      </c>
      <c r="Y353" s="103">
        <f t="shared" si="151"/>
        <v>47628</v>
      </c>
      <c r="AB353" s="76"/>
      <c r="AC353" s="76"/>
      <c r="AD353" s="76"/>
      <c r="AE353" s="77"/>
      <c r="AF353" s="78"/>
      <c r="AG353" s="24"/>
      <c r="AH353" s="53"/>
      <c r="AI353" s="53"/>
      <c r="AJ353" s="53"/>
      <c r="AK353" s="53"/>
      <c r="AL353" s="53"/>
      <c r="AM353" s="1"/>
      <c r="AN353" s="1"/>
    </row>
    <row r="354" spans="2:40" ht="12.75">
      <c r="B354" s="122">
        <f t="shared" si="146"/>
        <v>39225.13077809386</v>
      </c>
      <c r="C354">
        <v>0</v>
      </c>
      <c r="D354" s="2">
        <v>-0.003</v>
      </c>
      <c r="E354">
        <v>0.6</v>
      </c>
      <c r="F354">
        <f t="shared" si="133"/>
        <v>195.79999999999885</v>
      </c>
      <c r="G354" s="1">
        <f t="shared" si="147"/>
        <v>340.13759999999945</v>
      </c>
      <c r="H354" s="1">
        <f t="shared" si="153"/>
        <v>0</v>
      </c>
      <c r="I354">
        <v>60</v>
      </c>
      <c r="J354" s="64">
        <f t="shared" si="134"/>
        <v>59.99999999999999</v>
      </c>
      <c r="K354" s="117">
        <f t="shared" si="152"/>
        <v>0.0004166666666666667</v>
      </c>
      <c r="L354" s="1">
        <f t="shared" si="135"/>
        <v>12581.16552146597</v>
      </c>
      <c r="M354" s="1">
        <f t="shared" si="148"/>
        <v>2450.8764002855783</v>
      </c>
      <c r="N354" s="1">
        <f t="shared" si="144"/>
        <v>21000</v>
      </c>
      <c r="O354" s="74">
        <f t="shared" si="136"/>
        <v>0.11670840001359896</v>
      </c>
      <c r="P354" s="84">
        <f t="shared" si="137"/>
        <v>1</v>
      </c>
      <c r="Q354" s="1">
        <f t="shared" si="138"/>
        <v>1.467375</v>
      </c>
      <c r="R354" s="1">
        <f t="shared" si="139"/>
        <v>2718.581445089413</v>
      </c>
      <c r="S354" s="1">
        <f t="shared" si="140"/>
        <v>2.445625</v>
      </c>
      <c r="T354" s="60">
        <f t="shared" si="149"/>
        <v>2.93475</v>
      </c>
      <c r="U354" s="101">
        <f t="shared" si="141"/>
        <v>21459.581151832463</v>
      </c>
      <c r="V354" s="102">
        <f t="shared" si="150"/>
        <v>8199.20436963351</v>
      </c>
      <c r="W354" s="102">
        <f t="shared" si="142"/>
        <v>17022.6</v>
      </c>
      <c r="X354" s="102">
        <f t="shared" si="143"/>
        <v>-34100.22</v>
      </c>
      <c r="Y354" s="103">
        <f t="shared" si="151"/>
        <v>0</v>
      </c>
      <c r="AB354" s="76"/>
      <c r="AC354" s="76"/>
      <c r="AD354" s="76"/>
      <c r="AE354" s="77"/>
      <c r="AF354" s="78"/>
      <c r="AG354" s="24"/>
      <c r="AH354" s="53"/>
      <c r="AI354" s="53"/>
      <c r="AJ354" s="53"/>
      <c r="AK354" s="53"/>
      <c r="AL354" s="53"/>
      <c r="AM354" s="1"/>
      <c r="AN354" s="1"/>
    </row>
    <row r="355" spans="2:40" ht="12.75">
      <c r="B355" s="122">
        <f t="shared" si="146"/>
        <v>39225.1345975383</v>
      </c>
      <c r="C355">
        <v>0</v>
      </c>
      <c r="D355" s="2">
        <v>-0.003</v>
      </c>
      <c r="E355">
        <v>5.5</v>
      </c>
      <c r="F355">
        <f t="shared" si="133"/>
        <v>201.29999999999885</v>
      </c>
      <c r="G355" s="1">
        <f t="shared" si="147"/>
        <v>253.01759999999945</v>
      </c>
      <c r="H355" s="1">
        <f t="shared" si="153"/>
        <v>0</v>
      </c>
      <c r="I355">
        <v>60</v>
      </c>
      <c r="J355" s="64">
        <f t="shared" si="134"/>
        <v>59.99999999999999</v>
      </c>
      <c r="K355" s="117">
        <f t="shared" si="152"/>
        <v>0.0038194444444444448</v>
      </c>
      <c r="L355" s="1">
        <f t="shared" si="135"/>
        <v>12581.16552146597</v>
      </c>
      <c r="M355" s="1">
        <f t="shared" si="148"/>
        <v>2450.8764002855783</v>
      </c>
      <c r="N355" s="1">
        <f t="shared" si="144"/>
        <v>21000</v>
      </c>
      <c r="O355" s="74">
        <f t="shared" si="136"/>
        <v>0.11670840001359896</v>
      </c>
      <c r="P355" s="84">
        <f t="shared" si="137"/>
        <v>1</v>
      </c>
      <c r="Q355" s="1">
        <f t="shared" si="138"/>
        <v>13.4509375</v>
      </c>
      <c r="R355" s="1">
        <f t="shared" si="139"/>
        <v>2732.032382589413</v>
      </c>
      <c r="S355" s="1">
        <f t="shared" si="140"/>
        <v>2.445625</v>
      </c>
      <c r="T355" s="60">
        <f t="shared" si="149"/>
        <v>26.901875</v>
      </c>
      <c r="U355" s="101">
        <f t="shared" si="141"/>
        <v>21459.581151832463</v>
      </c>
      <c r="V355" s="102">
        <f t="shared" si="150"/>
        <v>8199.20436963351</v>
      </c>
      <c r="W355" s="102">
        <f t="shared" si="142"/>
        <v>17022.6</v>
      </c>
      <c r="X355" s="102">
        <f t="shared" si="143"/>
        <v>-34100.22</v>
      </c>
      <c r="Y355" s="103">
        <f t="shared" si="151"/>
        <v>0</v>
      </c>
      <c r="AB355" s="76"/>
      <c r="AC355" s="76"/>
      <c r="AD355" s="76"/>
      <c r="AE355" s="77"/>
      <c r="AF355" s="78"/>
      <c r="AG355" s="24"/>
      <c r="AH355" s="53"/>
      <c r="AI355" s="53"/>
      <c r="AJ355" s="53"/>
      <c r="AK355" s="53"/>
      <c r="AL355" s="53"/>
      <c r="AM355" s="1"/>
      <c r="AN355" s="1"/>
    </row>
    <row r="356" spans="2:40" ht="12.75">
      <c r="B356" s="122">
        <f t="shared" si="146"/>
        <v>39225.13501420497</v>
      </c>
      <c r="C356">
        <v>0</v>
      </c>
      <c r="D356" s="2">
        <v>-0.003</v>
      </c>
      <c r="E356">
        <v>0.6</v>
      </c>
      <c r="F356">
        <f t="shared" si="133"/>
        <v>201.89999999999884</v>
      </c>
      <c r="G356" s="1">
        <f t="shared" si="147"/>
        <v>243.51359999999946</v>
      </c>
      <c r="H356" s="1">
        <f t="shared" si="153"/>
        <v>0</v>
      </c>
      <c r="I356">
        <v>60</v>
      </c>
      <c r="J356" s="64">
        <f t="shared" si="134"/>
        <v>59.99999999999999</v>
      </c>
      <c r="K356" s="117">
        <f t="shared" si="152"/>
        <v>0.0004166666666666667</v>
      </c>
      <c r="L356" s="1">
        <f t="shared" si="135"/>
        <v>12581.16552146597</v>
      </c>
      <c r="M356" s="1">
        <f t="shared" si="148"/>
        <v>2450.8764002855783</v>
      </c>
      <c r="N356" s="1">
        <f t="shared" si="144"/>
        <v>21000</v>
      </c>
      <c r="O356" s="74">
        <f t="shared" si="136"/>
        <v>0.11670840001359896</v>
      </c>
      <c r="P356" s="84">
        <f t="shared" si="137"/>
        <v>1</v>
      </c>
      <c r="Q356" s="1">
        <f t="shared" si="138"/>
        <v>1.467375</v>
      </c>
      <c r="R356" s="1">
        <f t="shared" si="139"/>
        <v>2733.499757589413</v>
      </c>
      <c r="S356" s="1">
        <f t="shared" si="140"/>
        <v>2.445625</v>
      </c>
      <c r="T356" s="60">
        <f t="shared" si="149"/>
        <v>2.93475</v>
      </c>
      <c r="U356" s="101">
        <f t="shared" si="141"/>
        <v>21459.581151832463</v>
      </c>
      <c r="V356" s="102">
        <f t="shared" si="150"/>
        <v>8199.20436963351</v>
      </c>
      <c r="W356" s="102">
        <f t="shared" si="142"/>
        <v>17022.6</v>
      </c>
      <c r="X356" s="102">
        <f t="shared" si="143"/>
        <v>-34100.22</v>
      </c>
      <c r="Y356" s="103">
        <f t="shared" si="151"/>
        <v>0</v>
      </c>
      <c r="AB356" s="76"/>
      <c r="AC356" s="76"/>
      <c r="AD356" s="76"/>
      <c r="AE356" s="77"/>
      <c r="AF356" s="78"/>
      <c r="AG356" s="24"/>
      <c r="AH356" s="53"/>
      <c r="AI356" s="53"/>
      <c r="AJ356" s="53"/>
      <c r="AK356" s="53"/>
      <c r="AL356" s="53"/>
      <c r="AM356" s="1"/>
      <c r="AN356" s="1"/>
    </row>
    <row r="357" spans="2:40" ht="12.75">
      <c r="B357" s="122">
        <f t="shared" si="146"/>
        <v>39225.13543087164</v>
      </c>
      <c r="C357">
        <v>0</v>
      </c>
      <c r="D357" s="2">
        <v>-0.003</v>
      </c>
      <c r="E357">
        <v>0.6</v>
      </c>
      <c r="F357">
        <f t="shared" si="133"/>
        <v>202.49999999999883</v>
      </c>
      <c r="G357" s="1">
        <f t="shared" si="147"/>
        <v>234.00959999999947</v>
      </c>
      <c r="H357" s="1">
        <f t="shared" si="153"/>
        <v>0</v>
      </c>
      <c r="I357">
        <v>60</v>
      </c>
      <c r="J357" s="64">
        <f t="shared" si="134"/>
        <v>59.99999999999999</v>
      </c>
      <c r="K357" s="117">
        <f t="shared" si="152"/>
        <v>0.0004166666666666667</v>
      </c>
      <c r="L357" s="1">
        <f t="shared" si="135"/>
        <v>12581.16552146597</v>
      </c>
      <c r="M357" s="1">
        <f t="shared" si="148"/>
        <v>2450.8764002855783</v>
      </c>
      <c r="N357" s="1">
        <f t="shared" si="144"/>
        <v>21000</v>
      </c>
      <c r="O357" s="74">
        <f t="shared" si="136"/>
        <v>0.11670840001359896</v>
      </c>
      <c r="P357" s="84">
        <f t="shared" si="137"/>
        <v>1</v>
      </c>
      <c r="Q357" s="1">
        <f t="shared" si="138"/>
        <v>1.467375</v>
      </c>
      <c r="R357" s="1">
        <f t="shared" si="139"/>
        <v>2734.9671325894133</v>
      </c>
      <c r="S357" s="1">
        <f t="shared" si="140"/>
        <v>2.445625</v>
      </c>
      <c r="T357" s="60">
        <f t="shared" si="149"/>
        <v>2.93475</v>
      </c>
      <c r="U357" s="101">
        <f t="shared" si="141"/>
        <v>21459.581151832463</v>
      </c>
      <c r="V357" s="102">
        <f t="shared" si="150"/>
        <v>8199.20436963351</v>
      </c>
      <c r="W357" s="102">
        <f t="shared" si="142"/>
        <v>17022.6</v>
      </c>
      <c r="X357" s="102">
        <f t="shared" si="143"/>
        <v>-34100.22</v>
      </c>
      <c r="Y357" s="103">
        <f t="shared" si="151"/>
        <v>0</v>
      </c>
      <c r="AB357" s="76"/>
      <c r="AC357" s="76"/>
      <c r="AD357" s="76"/>
      <c r="AE357" s="77"/>
      <c r="AF357" s="78"/>
      <c r="AG357" s="24"/>
      <c r="AH357" s="53"/>
      <c r="AI357" s="53"/>
      <c r="AJ357" s="53"/>
      <c r="AK357" s="53"/>
      <c r="AL357" s="53"/>
      <c r="AM357" s="1"/>
      <c r="AN357" s="1"/>
    </row>
    <row r="358" spans="2:40" ht="12.75">
      <c r="B358" s="122">
        <f t="shared" si="146"/>
        <v>39225.13584753831</v>
      </c>
      <c r="C358">
        <v>0</v>
      </c>
      <c r="D358" s="2">
        <v>-0.004</v>
      </c>
      <c r="E358">
        <v>0.6</v>
      </c>
      <c r="F358">
        <f t="shared" si="133"/>
        <v>203.09999999999883</v>
      </c>
      <c r="G358" s="1">
        <f t="shared" si="147"/>
        <v>221.33759999999947</v>
      </c>
      <c r="H358" s="1">
        <f t="shared" si="153"/>
        <v>0</v>
      </c>
      <c r="I358">
        <v>60</v>
      </c>
      <c r="J358" s="64">
        <f t="shared" si="134"/>
        <v>60</v>
      </c>
      <c r="K358" s="117">
        <f t="shared" si="152"/>
        <v>0.0004166666666666667</v>
      </c>
      <c r="L358" s="1">
        <f t="shared" si="135"/>
        <v>1214.4255214659715</v>
      </c>
      <c r="M358" s="1">
        <f t="shared" si="148"/>
        <v>236.57640028557887</v>
      </c>
      <c r="N358" s="1">
        <f t="shared" si="144"/>
        <v>21000</v>
      </c>
      <c r="O358" s="74">
        <f t="shared" si="136"/>
        <v>0.011265542870741852</v>
      </c>
      <c r="P358" s="84">
        <f t="shared" si="137"/>
        <v>1</v>
      </c>
      <c r="Q358" s="1">
        <f t="shared" si="138"/>
        <v>1.467375</v>
      </c>
      <c r="R358" s="1">
        <f t="shared" si="139"/>
        <v>2736.4345075894134</v>
      </c>
      <c r="S358" s="1">
        <f t="shared" si="140"/>
        <v>2.445625</v>
      </c>
      <c r="T358" s="60">
        <f t="shared" si="149"/>
        <v>2.93475</v>
      </c>
      <c r="U358" s="101">
        <f t="shared" si="141"/>
        <v>21459.581151832463</v>
      </c>
      <c r="V358" s="102">
        <f t="shared" si="150"/>
        <v>8199.20436963351</v>
      </c>
      <c r="W358" s="102">
        <f t="shared" si="142"/>
        <v>17022.6</v>
      </c>
      <c r="X358" s="102">
        <f t="shared" si="143"/>
        <v>-45466.96</v>
      </c>
      <c r="Y358" s="103">
        <f t="shared" si="151"/>
        <v>0</v>
      </c>
      <c r="AB358" s="76"/>
      <c r="AC358" s="76"/>
      <c r="AD358" s="76"/>
      <c r="AE358" s="77"/>
      <c r="AF358" s="78"/>
      <c r="AG358" s="24"/>
      <c r="AH358" s="53"/>
      <c r="AI358" s="53"/>
      <c r="AJ358" s="53"/>
      <c r="AK358" s="53"/>
      <c r="AL358" s="53"/>
      <c r="AM358" s="1"/>
      <c r="AN358" s="1"/>
    </row>
    <row r="359" spans="2:40" ht="12.75">
      <c r="B359" s="122">
        <f t="shared" si="146"/>
        <v>39225.13626420498</v>
      </c>
      <c r="C359">
        <v>0</v>
      </c>
      <c r="D359" s="2">
        <v>-0.001</v>
      </c>
      <c r="E359">
        <v>0.6</v>
      </c>
      <c r="F359">
        <f t="shared" si="133"/>
        <v>203.69999999999882</v>
      </c>
      <c r="G359" s="1">
        <f t="shared" si="147"/>
        <v>218.16959999999946</v>
      </c>
      <c r="H359" s="1">
        <f t="shared" si="153"/>
        <v>0</v>
      </c>
      <c r="I359">
        <v>60</v>
      </c>
      <c r="J359" s="64">
        <f t="shared" si="134"/>
        <v>60.000000000000014</v>
      </c>
      <c r="K359" s="117">
        <f t="shared" si="152"/>
        <v>0.00041666666666666653</v>
      </c>
      <c r="L359" s="1">
        <f t="shared" si="135"/>
        <v>35314.64552146597</v>
      </c>
      <c r="M359" s="1">
        <f t="shared" si="148"/>
        <v>6879.47640028558</v>
      </c>
      <c r="N359" s="1">
        <f t="shared" si="144"/>
        <v>21000</v>
      </c>
      <c r="O359" s="74">
        <f t="shared" si="136"/>
        <v>0.32759411429931334</v>
      </c>
      <c r="P359" s="84">
        <f t="shared" si="137"/>
        <v>3</v>
      </c>
      <c r="Q359" s="1">
        <f t="shared" si="138"/>
        <v>4.402124999999999</v>
      </c>
      <c r="R359" s="1">
        <f t="shared" si="139"/>
        <v>2740.8366325894135</v>
      </c>
      <c r="S359" s="1">
        <f t="shared" si="140"/>
        <v>7.336874999999998</v>
      </c>
      <c r="T359" s="60">
        <f t="shared" si="149"/>
        <v>8.804249999999998</v>
      </c>
      <c r="U359" s="101">
        <f t="shared" si="141"/>
        <v>21459.581151832463</v>
      </c>
      <c r="V359" s="102">
        <f t="shared" si="150"/>
        <v>8199.20436963351</v>
      </c>
      <c r="W359" s="102">
        <f t="shared" si="142"/>
        <v>17022.6</v>
      </c>
      <c r="X359" s="102">
        <f t="shared" si="143"/>
        <v>-11366.74</v>
      </c>
      <c r="Y359" s="103">
        <f t="shared" si="151"/>
        <v>0</v>
      </c>
      <c r="AB359" s="76"/>
      <c r="AC359" s="76"/>
      <c r="AD359" s="76"/>
      <c r="AE359" s="77"/>
      <c r="AF359" s="78"/>
      <c r="AG359" s="24"/>
      <c r="AH359" s="53"/>
      <c r="AI359" s="53"/>
      <c r="AJ359" s="53"/>
      <c r="AK359" s="53"/>
      <c r="AL359" s="53"/>
      <c r="AM359" s="1"/>
      <c r="AN359" s="1"/>
    </row>
    <row r="360" spans="2:40" ht="12.75">
      <c r="B360" s="122">
        <f t="shared" si="146"/>
        <v>39225.13681976053</v>
      </c>
      <c r="C360">
        <v>4</v>
      </c>
      <c r="D360" s="2">
        <v>0.0015</v>
      </c>
      <c r="E360">
        <v>0.6</v>
      </c>
      <c r="F360">
        <f aca="true" t="shared" si="154" ref="F360:F373">E360+F359</f>
        <v>204.29999999999882</v>
      </c>
      <c r="G360" s="1">
        <f t="shared" si="147"/>
        <v>222.92159999999947</v>
      </c>
      <c r="H360" s="1">
        <f>IF(G360-G359&gt;0,G360-G359,0)</f>
        <v>4.7520000000000095</v>
      </c>
      <c r="I360">
        <v>45</v>
      </c>
      <c r="J360" s="64">
        <f aca="true" t="shared" si="155" ref="J360:J373">IF(M360&lt;=N360,M360/L360*308,N360/L360*308)</f>
        <v>45.00000000000001</v>
      </c>
      <c r="K360" s="117">
        <f t="shared" si="152"/>
        <v>0.0005555555555555554</v>
      </c>
      <c r="L360" s="1">
        <f aca="true" t="shared" si="156" ref="L360:L373">SUM(U360:Y360)</f>
        <v>113593.41796753928</v>
      </c>
      <c r="M360" s="1">
        <f t="shared" si="148"/>
        <v>16596.440936815805</v>
      </c>
      <c r="N360" s="1">
        <f t="shared" si="144"/>
        <v>21000</v>
      </c>
      <c r="O360" s="74">
        <f aca="true" t="shared" si="157" ref="O360:O373">M360/N360</f>
        <v>0.7903067112769431</v>
      </c>
      <c r="P360" s="84">
        <f aca="true" t="shared" si="158" ref="P360:P373">ROUNDUP(IF(M360/N360*9&gt;=8,8,IF(M360/N360*10&gt;0,(M360-M360*0.3)/N360*10,1)),0)</f>
        <v>6</v>
      </c>
      <c r="Q360" s="1">
        <f aca="true" t="shared" si="159" ref="Q360:Q373">IF($AB$11*E360/J360*VLOOKUP($AB$10,$AA$34:$AQ$44,MATCH(P360,$AA$34:$AQ$34,),0)&gt;0,$AB$11*E360/J360*VLOOKUP($AB$10,$AA$34:$AQ$44,MATCH(P360,$AA$34:$AQ$34,),0),0)</f>
        <v>11.738999999999997</v>
      </c>
      <c r="R360" s="1">
        <f aca="true" t="shared" si="160" ref="R360:R373">Q360+R359</f>
        <v>2752.5756325894135</v>
      </c>
      <c r="S360" s="1">
        <f aca="true" t="shared" si="161" ref="S360:S373">Q360/E360</f>
        <v>19.564999999999998</v>
      </c>
      <c r="T360" s="60">
        <f t="shared" si="149"/>
        <v>23.477999999999994</v>
      </c>
      <c r="U360" s="101">
        <f aca="true" t="shared" si="162" ref="U360:U373">$AB$11*((VLOOKUP($AB$10,$AA$36:$AI$44,7,0)*VLOOKUP($AB$10,$AA$36:$AI$44,5,0)*I360*I360)/(VLOOKUP($AB$10,$AA$36:$AI$44,9,0)/VLOOKUP($AB$10,$AA$36:$AI$44,8,0))/VLOOKUP($AB$10,$AA$36:$AI$44,8,0))+((VLOOKUP($AB$12,$AA$27:$AH$33,4,0)*VLOOKUP($AB$12,$AA$27:$AH$33,5,0)*I360*I360)/(((VLOOKUP($AB$12,$AA$27:$AH$33,7,0)/2000))/((VLOOKUP($AB$12,$AA$27:$AH$33,8,0))))/VLOOKUP($AB$12,$AA$27:$AH$33,8,0))*$AE$7</f>
        <v>12071.01439790576</v>
      </c>
      <c r="V360" s="102">
        <f t="shared" si="150"/>
        <v>8199.20436963351</v>
      </c>
      <c r="W360" s="102">
        <f aca="true" t="shared" si="163" ref="W360:W373">$AB$11*(VLOOKUP($AB$10,$AA$36:$AI$44,6,0)*I360)+(VLOOKUP($AB$12,$AA$27:$AH$33,3,0)*I360)*$AE$7</f>
        <v>12766.95</v>
      </c>
      <c r="X360" s="102">
        <f aca="true" t="shared" si="164" ref="X360:X373">$AB$11*(20*D360*(VLOOKUP($AB$10,$AA$36:$AI$44,9,0)))+(20*D360*(VLOOKUP($AB$12,$AA$26:$AH$33,7,0)/2000))*$AE$7</f>
        <v>17050.11</v>
      </c>
      <c r="Y360" s="103">
        <f t="shared" si="151"/>
        <v>63506.1392</v>
      </c>
      <c r="AB360" s="76"/>
      <c r="AC360" s="76"/>
      <c r="AD360" s="76"/>
      <c r="AE360" s="77"/>
      <c r="AF360" s="78"/>
      <c r="AG360" s="24"/>
      <c r="AH360" s="53"/>
      <c r="AI360" s="53"/>
      <c r="AJ360" s="53"/>
      <c r="AK360" s="53"/>
      <c r="AL360" s="53"/>
      <c r="AM360" s="1"/>
      <c r="AN360" s="1"/>
    </row>
    <row r="361" spans="2:40" ht="12.75">
      <c r="B361" s="122">
        <f t="shared" si="146"/>
        <v>39225.1372364272</v>
      </c>
      <c r="C361">
        <v>0</v>
      </c>
      <c r="D361" s="2">
        <v>-0.0015</v>
      </c>
      <c r="E361">
        <v>0.6</v>
      </c>
      <c r="F361">
        <f t="shared" si="154"/>
        <v>204.8999999999988</v>
      </c>
      <c r="G361" s="1">
        <f t="shared" si="147"/>
        <v>218.16959999999946</v>
      </c>
      <c r="H361" s="1">
        <f aca="true" t="shared" si="165" ref="H361:H373">IF(G361-G360&gt;0,G361-G360,0)</f>
        <v>0</v>
      </c>
      <c r="I361">
        <v>60</v>
      </c>
      <c r="J361" s="64">
        <f t="shared" si="155"/>
        <v>59.99999999999999</v>
      </c>
      <c r="K361" s="117">
        <f t="shared" si="152"/>
        <v>0.0004166666666666667</v>
      </c>
      <c r="L361" s="1">
        <f t="shared" si="156"/>
        <v>93135.27552146597</v>
      </c>
      <c r="M361" s="1">
        <f t="shared" si="148"/>
        <v>18143.235491194668</v>
      </c>
      <c r="N361" s="1">
        <f t="shared" si="144"/>
        <v>21000</v>
      </c>
      <c r="O361" s="74">
        <f t="shared" si="157"/>
        <v>0.8639635948187937</v>
      </c>
      <c r="P361" s="84">
        <f t="shared" si="158"/>
        <v>7</v>
      </c>
      <c r="Q361" s="1">
        <f t="shared" si="159"/>
        <v>10.271625</v>
      </c>
      <c r="R361" s="1">
        <f t="shared" si="160"/>
        <v>2762.8472575894134</v>
      </c>
      <c r="S361" s="1">
        <f t="shared" si="161"/>
        <v>17.119375</v>
      </c>
      <c r="T361" s="60">
        <f t="shared" si="149"/>
        <v>20.54325</v>
      </c>
      <c r="U361" s="101">
        <f t="shared" si="162"/>
        <v>21459.581151832463</v>
      </c>
      <c r="V361" s="102">
        <f t="shared" si="150"/>
        <v>8199.20436963351</v>
      </c>
      <c r="W361" s="102">
        <f t="shared" si="163"/>
        <v>17022.6</v>
      </c>
      <c r="X361" s="102">
        <f t="shared" si="164"/>
        <v>-17050.11</v>
      </c>
      <c r="Y361" s="103">
        <f t="shared" si="151"/>
        <v>63504</v>
      </c>
      <c r="AB361" s="76"/>
      <c r="AC361" s="76"/>
      <c r="AD361" s="76"/>
      <c r="AE361" s="77"/>
      <c r="AF361" s="78"/>
      <c r="AG361" s="24"/>
      <c r="AH361" s="53"/>
      <c r="AI361" s="53"/>
      <c r="AJ361" s="53"/>
      <c r="AK361" s="53"/>
      <c r="AL361" s="53"/>
      <c r="AM361" s="1"/>
      <c r="AN361" s="1"/>
    </row>
    <row r="362" spans="2:40" ht="12.75">
      <c r="B362" s="122">
        <f t="shared" si="146"/>
        <v>39225.13765309387</v>
      </c>
      <c r="C362">
        <v>0</v>
      </c>
      <c r="D362" s="2">
        <v>-0.003</v>
      </c>
      <c r="E362">
        <v>0.6</v>
      </c>
      <c r="F362">
        <f t="shared" si="154"/>
        <v>205.4999999999988</v>
      </c>
      <c r="G362" s="1">
        <f t="shared" si="147"/>
        <v>208.66559999999947</v>
      </c>
      <c r="H362" s="1">
        <f t="shared" si="165"/>
        <v>0</v>
      </c>
      <c r="I362">
        <v>60</v>
      </c>
      <c r="J362" s="64">
        <f t="shared" si="155"/>
        <v>59.99999999999999</v>
      </c>
      <c r="K362" s="117">
        <f t="shared" si="152"/>
        <v>0.0004166666666666667</v>
      </c>
      <c r="L362" s="1">
        <f t="shared" si="156"/>
        <v>12581.16552146597</v>
      </c>
      <c r="M362" s="1">
        <f t="shared" si="148"/>
        <v>2450.8764002855783</v>
      </c>
      <c r="N362" s="1">
        <f aca="true" t="shared" si="166" ref="N362:N373">$AB$11*(VLOOKUP($AB$10,$AA$36:$AI$44,4,0))</f>
        <v>21000</v>
      </c>
      <c r="O362" s="74">
        <f t="shared" si="157"/>
        <v>0.11670840001359896</v>
      </c>
      <c r="P362" s="84">
        <f t="shared" si="158"/>
        <v>1</v>
      </c>
      <c r="Q362" s="1">
        <f t="shared" si="159"/>
        <v>1.467375</v>
      </c>
      <c r="R362" s="1">
        <f t="shared" si="160"/>
        <v>2764.3146325894136</v>
      </c>
      <c r="S362" s="1">
        <f t="shared" si="161"/>
        <v>2.445625</v>
      </c>
      <c r="T362" s="60">
        <f t="shared" si="149"/>
        <v>2.93475</v>
      </c>
      <c r="U362" s="101">
        <f t="shared" si="162"/>
        <v>21459.581151832463</v>
      </c>
      <c r="V362" s="102">
        <f t="shared" si="150"/>
        <v>8199.20436963351</v>
      </c>
      <c r="W362" s="102">
        <f t="shared" si="163"/>
        <v>17022.6</v>
      </c>
      <c r="X362" s="102">
        <f t="shared" si="164"/>
        <v>-34100.22</v>
      </c>
      <c r="Y362" s="103">
        <f t="shared" si="151"/>
        <v>0</v>
      </c>
      <c r="AB362" s="76"/>
      <c r="AC362" s="76"/>
      <c r="AD362" s="76"/>
      <c r="AE362" s="77"/>
      <c r="AF362" s="78"/>
      <c r="AG362" s="24"/>
      <c r="AH362" s="53"/>
      <c r="AI362" s="53"/>
      <c r="AJ362" s="53"/>
      <c r="AK362" s="53"/>
      <c r="AL362" s="53"/>
      <c r="AM362" s="1"/>
      <c r="AN362" s="1"/>
    </row>
    <row r="363" spans="2:40" ht="12.75">
      <c r="B363" s="122">
        <f t="shared" si="146"/>
        <v>39225.13806976054</v>
      </c>
      <c r="C363">
        <v>0</v>
      </c>
      <c r="D363" s="2">
        <v>-0.002</v>
      </c>
      <c r="E363">
        <v>0.6</v>
      </c>
      <c r="F363">
        <f t="shared" si="154"/>
        <v>206.0999999999988</v>
      </c>
      <c r="G363" s="1">
        <f t="shared" si="147"/>
        <v>202.32959999999946</v>
      </c>
      <c r="H363" s="1">
        <f t="shared" si="165"/>
        <v>0</v>
      </c>
      <c r="I363">
        <v>60</v>
      </c>
      <c r="J363" s="64">
        <f t="shared" si="155"/>
        <v>60</v>
      </c>
      <c r="K363" s="117">
        <f t="shared" si="152"/>
        <v>0.0004166666666666667</v>
      </c>
      <c r="L363" s="1">
        <f t="shared" si="156"/>
        <v>23947.90552146597</v>
      </c>
      <c r="M363" s="1">
        <f t="shared" si="148"/>
        <v>4665.176400285579</v>
      </c>
      <c r="N363" s="1">
        <f t="shared" si="166"/>
        <v>21000</v>
      </c>
      <c r="O363" s="74">
        <f t="shared" si="157"/>
        <v>0.22215125715645614</v>
      </c>
      <c r="P363" s="84">
        <f t="shared" si="158"/>
        <v>2</v>
      </c>
      <c r="Q363" s="1">
        <f t="shared" si="159"/>
        <v>2.93475</v>
      </c>
      <c r="R363" s="1">
        <f t="shared" si="160"/>
        <v>2767.2493825894135</v>
      </c>
      <c r="S363" s="1">
        <f t="shared" si="161"/>
        <v>4.89125</v>
      </c>
      <c r="T363" s="60">
        <f t="shared" si="149"/>
        <v>5.8695</v>
      </c>
      <c r="U363" s="101">
        <f t="shared" si="162"/>
        <v>21459.581151832463</v>
      </c>
      <c r="V363" s="102">
        <f t="shared" si="150"/>
        <v>8199.20436963351</v>
      </c>
      <c r="W363" s="102">
        <f t="shared" si="163"/>
        <v>17022.6</v>
      </c>
      <c r="X363" s="102">
        <f t="shared" si="164"/>
        <v>-22733.48</v>
      </c>
      <c r="Y363" s="103">
        <f t="shared" si="151"/>
        <v>0</v>
      </c>
      <c r="AB363" s="76"/>
      <c r="AC363" s="76"/>
      <c r="AD363" s="76"/>
      <c r="AE363" s="77"/>
      <c r="AF363" s="78"/>
      <c r="AG363" s="24"/>
      <c r="AH363" s="53"/>
      <c r="AI363" s="53"/>
      <c r="AJ363" s="53"/>
      <c r="AK363" s="53"/>
      <c r="AL363" s="53"/>
      <c r="AM363" s="1"/>
      <c r="AN363" s="1"/>
    </row>
    <row r="364" spans="2:40" ht="12.75">
      <c r="B364" s="122">
        <f t="shared" si="146"/>
        <v>39225.13848642721</v>
      </c>
      <c r="C364">
        <v>3</v>
      </c>
      <c r="D364" s="2">
        <v>-0.004</v>
      </c>
      <c r="E364">
        <v>0.6</v>
      </c>
      <c r="F364">
        <f t="shared" si="154"/>
        <v>206.6999999999988</v>
      </c>
      <c r="G364" s="1">
        <f t="shared" si="147"/>
        <v>189.65759999999946</v>
      </c>
      <c r="H364" s="1">
        <f t="shared" si="165"/>
        <v>0</v>
      </c>
      <c r="I364">
        <v>60</v>
      </c>
      <c r="J364" s="64">
        <f t="shared" si="155"/>
        <v>60</v>
      </c>
      <c r="K364" s="117">
        <f t="shared" si="152"/>
        <v>0.0004166666666666667</v>
      </c>
      <c r="L364" s="1">
        <f t="shared" si="156"/>
        <v>48844.02992146597</v>
      </c>
      <c r="M364" s="1">
        <f t="shared" si="148"/>
        <v>9515.070763921942</v>
      </c>
      <c r="N364" s="1">
        <f t="shared" si="166"/>
        <v>21000</v>
      </c>
      <c r="O364" s="74">
        <f t="shared" si="157"/>
        <v>0.45309860780580674</v>
      </c>
      <c r="P364" s="84">
        <f t="shared" si="158"/>
        <v>4</v>
      </c>
      <c r="Q364" s="1">
        <f t="shared" si="159"/>
        <v>5.8695</v>
      </c>
      <c r="R364" s="1">
        <f t="shared" si="160"/>
        <v>2773.1188825894133</v>
      </c>
      <c r="S364" s="1">
        <f t="shared" si="161"/>
        <v>9.7825</v>
      </c>
      <c r="T364" s="60">
        <f t="shared" si="149"/>
        <v>11.739</v>
      </c>
      <c r="U364" s="101">
        <f t="shared" si="162"/>
        <v>21459.581151832463</v>
      </c>
      <c r="V364" s="102">
        <f t="shared" si="150"/>
        <v>8199.20436963351</v>
      </c>
      <c r="W364" s="102">
        <f t="shared" si="163"/>
        <v>17022.6</v>
      </c>
      <c r="X364" s="102">
        <f t="shared" si="164"/>
        <v>-45466.96</v>
      </c>
      <c r="Y364" s="103">
        <f t="shared" si="151"/>
        <v>47629.6044</v>
      </c>
      <c r="AB364" s="76"/>
      <c r="AC364" s="76"/>
      <c r="AD364" s="76"/>
      <c r="AE364" s="77"/>
      <c r="AF364" s="78"/>
      <c r="AG364" s="24"/>
      <c r="AH364" s="53"/>
      <c r="AI364" s="53"/>
      <c r="AJ364" s="53"/>
      <c r="AK364" s="53"/>
      <c r="AL364" s="53"/>
      <c r="AM364" s="1"/>
      <c r="AN364" s="1"/>
    </row>
    <row r="365" spans="2:40" ht="12.75">
      <c r="B365" s="122">
        <f t="shared" si="146"/>
        <v>39225.13931976054</v>
      </c>
      <c r="C365">
        <v>2</v>
      </c>
      <c r="D365" s="2">
        <v>-0.004</v>
      </c>
      <c r="E365">
        <v>0.6</v>
      </c>
      <c r="F365">
        <f t="shared" si="154"/>
        <v>207.2999999999988</v>
      </c>
      <c r="G365" s="1">
        <f t="shared" si="147"/>
        <v>176.98559999999947</v>
      </c>
      <c r="H365" s="1">
        <f t="shared" si="165"/>
        <v>0</v>
      </c>
      <c r="I365">
        <v>30</v>
      </c>
      <c r="J365" s="64">
        <f t="shared" si="155"/>
        <v>29.999999999999996</v>
      </c>
      <c r="K365" s="117">
        <f t="shared" si="152"/>
        <v>0.0008333333333333334</v>
      </c>
      <c r="L365" s="1">
        <f t="shared" si="156"/>
        <v>55989.50925759163</v>
      </c>
      <c r="M365" s="1">
        <f t="shared" si="148"/>
        <v>5453.523628986197</v>
      </c>
      <c r="N365" s="1">
        <f t="shared" si="166"/>
        <v>21000</v>
      </c>
      <c r="O365" s="74">
        <f t="shared" si="157"/>
        <v>0.25969160138029507</v>
      </c>
      <c r="P365" s="84">
        <f t="shared" si="158"/>
        <v>2</v>
      </c>
      <c r="Q365" s="1">
        <f t="shared" si="159"/>
        <v>5.8695</v>
      </c>
      <c r="R365" s="1">
        <f t="shared" si="160"/>
        <v>2778.988382589413</v>
      </c>
      <c r="S365" s="1">
        <f t="shared" si="161"/>
        <v>9.7825</v>
      </c>
      <c r="T365" s="60">
        <f t="shared" si="149"/>
        <v>11.739</v>
      </c>
      <c r="U365" s="101">
        <f t="shared" si="162"/>
        <v>5364.895287958116</v>
      </c>
      <c r="V365" s="102">
        <f t="shared" si="150"/>
        <v>8199.20436963351</v>
      </c>
      <c r="W365" s="102">
        <f t="shared" si="163"/>
        <v>8511.3</v>
      </c>
      <c r="X365" s="102">
        <f t="shared" si="164"/>
        <v>-45466.96</v>
      </c>
      <c r="Y365" s="103">
        <f t="shared" si="151"/>
        <v>79381.0696</v>
      </c>
      <c r="AB365" s="76"/>
      <c r="AC365" s="76"/>
      <c r="AD365" s="76"/>
      <c r="AE365" s="77"/>
      <c r="AF365" s="78"/>
      <c r="AG365" s="24"/>
      <c r="AH365" s="53"/>
      <c r="AI365" s="53"/>
      <c r="AJ365" s="53"/>
      <c r="AK365" s="53"/>
      <c r="AL365" s="53"/>
      <c r="AM365" s="1"/>
      <c r="AN365" s="1"/>
    </row>
    <row r="366" spans="2:40" ht="12.75">
      <c r="B366" s="122">
        <f t="shared" si="146"/>
        <v>39225.13994476054</v>
      </c>
      <c r="C366">
        <v>0</v>
      </c>
      <c r="D366" s="2">
        <v>0</v>
      </c>
      <c r="E366">
        <v>0.6</v>
      </c>
      <c r="F366">
        <f t="shared" si="154"/>
        <v>207.89999999999878</v>
      </c>
      <c r="G366" s="1">
        <f t="shared" si="147"/>
        <v>176.98559999999947</v>
      </c>
      <c r="H366" s="1">
        <f t="shared" si="165"/>
        <v>0</v>
      </c>
      <c r="I366">
        <v>40</v>
      </c>
      <c r="J366" s="64">
        <f t="shared" si="155"/>
        <v>39.99999999999999</v>
      </c>
      <c r="K366" s="117">
        <f t="shared" si="152"/>
        <v>0.0006250000000000001</v>
      </c>
      <c r="L366" s="1">
        <f t="shared" si="156"/>
        <v>60837.19599267015</v>
      </c>
      <c r="M366" s="1">
        <f t="shared" si="148"/>
        <v>7900.9345445026165</v>
      </c>
      <c r="N366" s="1">
        <f t="shared" si="166"/>
        <v>21000</v>
      </c>
      <c r="O366" s="74">
        <f t="shared" si="157"/>
        <v>0.3762349783096484</v>
      </c>
      <c r="P366" s="84">
        <f t="shared" si="158"/>
        <v>3</v>
      </c>
      <c r="Q366" s="1">
        <f t="shared" si="159"/>
        <v>6.603187500000001</v>
      </c>
      <c r="R366" s="1">
        <f t="shared" si="160"/>
        <v>2785.591570089413</v>
      </c>
      <c r="S366" s="1">
        <f t="shared" si="161"/>
        <v>11.005312500000002</v>
      </c>
      <c r="T366" s="60">
        <f t="shared" si="149"/>
        <v>13.206375000000001</v>
      </c>
      <c r="U366" s="101">
        <f t="shared" si="162"/>
        <v>9537.59162303665</v>
      </c>
      <c r="V366" s="102">
        <f t="shared" si="150"/>
        <v>8199.20436963351</v>
      </c>
      <c r="W366" s="102">
        <f t="shared" si="163"/>
        <v>11348.399999999998</v>
      </c>
      <c r="X366" s="102">
        <f t="shared" si="164"/>
        <v>0</v>
      </c>
      <c r="Y366" s="103">
        <f t="shared" si="151"/>
        <v>31752</v>
      </c>
      <c r="AB366" s="76"/>
      <c r="AC366" s="76"/>
      <c r="AD366" s="76"/>
      <c r="AE366" s="77"/>
      <c r="AF366" s="78"/>
      <c r="AG366" s="24"/>
      <c r="AH366" s="53"/>
      <c r="AI366" s="53"/>
      <c r="AJ366" s="53"/>
      <c r="AK366" s="53"/>
      <c r="AL366" s="53"/>
      <c r="AM366" s="1"/>
      <c r="AN366" s="1"/>
    </row>
    <row r="367" spans="2:40" ht="12.75">
      <c r="B367" s="122">
        <f t="shared" si="146"/>
        <v>39225.14036142721</v>
      </c>
      <c r="C367">
        <v>0</v>
      </c>
      <c r="D367" s="2">
        <v>0</v>
      </c>
      <c r="E367">
        <v>0.6</v>
      </c>
      <c r="F367">
        <f t="shared" si="154"/>
        <v>208.49999999999878</v>
      </c>
      <c r="G367" s="1">
        <f t="shared" si="147"/>
        <v>176.98559999999947</v>
      </c>
      <c r="H367" s="1">
        <f t="shared" si="165"/>
        <v>0</v>
      </c>
      <c r="I367">
        <v>60</v>
      </c>
      <c r="J367" s="64">
        <f t="shared" si="155"/>
        <v>60.000000000000014</v>
      </c>
      <c r="K367" s="117">
        <f t="shared" si="152"/>
        <v>0.00041666666666666653</v>
      </c>
      <c r="L367" s="1">
        <f t="shared" si="156"/>
        <v>46681.38552146597</v>
      </c>
      <c r="M367" s="1">
        <f t="shared" si="148"/>
        <v>9093.77640028558</v>
      </c>
      <c r="N367" s="1">
        <f t="shared" si="166"/>
        <v>21000</v>
      </c>
      <c r="O367" s="74">
        <f t="shared" si="157"/>
        <v>0.43303697144217046</v>
      </c>
      <c r="P367" s="84">
        <f t="shared" si="158"/>
        <v>4</v>
      </c>
      <c r="Q367" s="1">
        <f t="shared" si="159"/>
        <v>5.869499999999999</v>
      </c>
      <c r="R367" s="1">
        <f t="shared" si="160"/>
        <v>2791.4610700894127</v>
      </c>
      <c r="S367" s="1">
        <f t="shared" si="161"/>
        <v>9.782499999999999</v>
      </c>
      <c r="T367" s="60">
        <f t="shared" si="149"/>
        <v>11.738999999999997</v>
      </c>
      <c r="U367" s="101">
        <f t="shared" si="162"/>
        <v>21459.581151832463</v>
      </c>
      <c r="V367" s="102">
        <f t="shared" si="150"/>
        <v>8199.20436963351</v>
      </c>
      <c r="W367" s="102">
        <f t="shared" si="163"/>
        <v>17022.6</v>
      </c>
      <c r="X367" s="102">
        <f t="shared" si="164"/>
        <v>0</v>
      </c>
      <c r="Y367" s="103">
        <f t="shared" si="151"/>
        <v>0</v>
      </c>
      <c r="AB367" s="76"/>
      <c r="AC367" s="76"/>
      <c r="AD367" s="76"/>
      <c r="AE367" s="77"/>
      <c r="AF367" s="78"/>
      <c r="AG367" s="24"/>
      <c r="AH367" s="53"/>
      <c r="AI367" s="53"/>
      <c r="AJ367" s="53"/>
      <c r="AK367" s="53"/>
      <c r="AL367" s="53"/>
      <c r="AM367" s="1"/>
      <c r="AN367" s="1"/>
    </row>
    <row r="368" spans="2:40" ht="12.75">
      <c r="B368" s="122">
        <f t="shared" si="146"/>
        <v>39225.14091698277</v>
      </c>
      <c r="C368">
        <v>0</v>
      </c>
      <c r="D368" s="2">
        <v>0</v>
      </c>
      <c r="E368">
        <v>0.8</v>
      </c>
      <c r="F368">
        <f t="shared" si="154"/>
        <v>209.2999999999988</v>
      </c>
      <c r="G368" s="1">
        <f t="shared" si="147"/>
        <v>176.98559999999947</v>
      </c>
      <c r="H368" s="1">
        <f t="shared" si="165"/>
        <v>0</v>
      </c>
      <c r="I368">
        <v>60</v>
      </c>
      <c r="J368" s="64">
        <f t="shared" si="155"/>
        <v>60.000000000000014</v>
      </c>
      <c r="K368" s="117">
        <f t="shared" si="152"/>
        <v>0.0005555555555555554</v>
      </c>
      <c r="L368" s="1">
        <f t="shared" si="156"/>
        <v>46681.38552146597</v>
      </c>
      <c r="M368" s="1">
        <f t="shared" si="148"/>
        <v>9093.77640028558</v>
      </c>
      <c r="N368" s="1">
        <f t="shared" si="166"/>
        <v>21000</v>
      </c>
      <c r="O368" s="74">
        <f t="shared" si="157"/>
        <v>0.43303697144217046</v>
      </c>
      <c r="P368" s="84">
        <f t="shared" si="158"/>
        <v>4</v>
      </c>
      <c r="Q368" s="1">
        <f t="shared" si="159"/>
        <v>7.825999999999999</v>
      </c>
      <c r="R368" s="1">
        <f t="shared" si="160"/>
        <v>2799.2870700894127</v>
      </c>
      <c r="S368" s="1">
        <f t="shared" si="161"/>
        <v>9.782499999999997</v>
      </c>
      <c r="T368" s="60">
        <f t="shared" si="149"/>
        <v>15.651999999999997</v>
      </c>
      <c r="U368" s="101">
        <f t="shared" si="162"/>
        <v>21459.581151832463</v>
      </c>
      <c r="V368" s="102">
        <f t="shared" si="150"/>
        <v>8199.20436963351</v>
      </c>
      <c r="W368" s="102">
        <f t="shared" si="163"/>
        <v>17022.6</v>
      </c>
      <c r="X368" s="102">
        <f t="shared" si="164"/>
        <v>0</v>
      </c>
      <c r="Y368" s="103">
        <f t="shared" si="151"/>
        <v>0</v>
      </c>
      <c r="AB368" s="76"/>
      <c r="AC368" s="76"/>
      <c r="AD368" s="76"/>
      <c r="AE368" s="77"/>
      <c r="AF368" s="78"/>
      <c r="AG368" s="24"/>
      <c r="AH368" s="53"/>
      <c r="AI368" s="53"/>
      <c r="AJ368" s="53"/>
      <c r="AK368" s="53"/>
      <c r="AL368" s="53"/>
      <c r="AM368" s="1"/>
      <c r="AN368" s="1"/>
    </row>
    <row r="369" spans="2:40" ht="12.75">
      <c r="B369" s="122">
        <f t="shared" si="146"/>
        <v>39225.14133364944</v>
      </c>
      <c r="C369">
        <v>0</v>
      </c>
      <c r="D369" s="2">
        <v>0</v>
      </c>
      <c r="E369">
        <v>0.6</v>
      </c>
      <c r="F369">
        <f t="shared" si="154"/>
        <v>209.89999999999878</v>
      </c>
      <c r="G369" s="1">
        <f t="shared" si="147"/>
        <v>176.98559999999947</v>
      </c>
      <c r="H369" s="1">
        <f t="shared" si="165"/>
        <v>0</v>
      </c>
      <c r="I369">
        <v>60</v>
      </c>
      <c r="J369" s="64">
        <f t="shared" si="155"/>
        <v>60.000000000000014</v>
      </c>
      <c r="K369" s="117">
        <f t="shared" si="152"/>
        <v>0.00041666666666666653</v>
      </c>
      <c r="L369" s="1">
        <f t="shared" si="156"/>
        <v>46681.38552146597</v>
      </c>
      <c r="M369" s="1">
        <f t="shared" si="148"/>
        <v>9093.77640028558</v>
      </c>
      <c r="N369" s="1">
        <f t="shared" si="166"/>
        <v>21000</v>
      </c>
      <c r="O369" s="74">
        <f t="shared" si="157"/>
        <v>0.43303697144217046</v>
      </c>
      <c r="P369" s="84">
        <f t="shared" si="158"/>
        <v>4</v>
      </c>
      <c r="Q369" s="1">
        <f t="shared" si="159"/>
        <v>5.869499999999999</v>
      </c>
      <c r="R369" s="1">
        <f t="shared" si="160"/>
        <v>2805.1565700894125</v>
      </c>
      <c r="S369" s="1">
        <f t="shared" si="161"/>
        <v>9.782499999999999</v>
      </c>
      <c r="T369" s="60">
        <f t="shared" si="149"/>
        <v>11.738999999999997</v>
      </c>
      <c r="U369" s="101">
        <f t="shared" si="162"/>
        <v>21459.581151832463</v>
      </c>
      <c r="V369" s="102">
        <f t="shared" si="150"/>
        <v>8199.20436963351</v>
      </c>
      <c r="W369" s="102">
        <f t="shared" si="163"/>
        <v>17022.6</v>
      </c>
      <c r="X369" s="102">
        <f t="shared" si="164"/>
        <v>0</v>
      </c>
      <c r="Y369" s="103">
        <f t="shared" si="151"/>
        <v>0</v>
      </c>
      <c r="AB369" s="76"/>
      <c r="AC369" s="76"/>
      <c r="AD369" s="76"/>
      <c r="AE369" s="77"/>
      <c r="AF369" s="78"/>
      <c r="AG369" s="24"/>
      <c r="AH369" s="53"/>
      <c r="AI369" s="53"/>
      <c r="AJ369" s="53"/>
      <c r="AK369" s="53"/>
      <c r="AL369" s="53"/>
      <c r="AM369" s="1"/>
      <c r="AN369" s="1"/>
    </row>
    <row r="370" spans="2:40" ht="12.75">
      <c r="B370" s="122">
        <f t="shared" si="146"/>
        <v>39225.14175031611</v>
      </c>
      <c r="C370">
        <v>0</v>
      </c>
      <c r="D370" s="2">
        <v>0</v>
      </c>
      <c r="E370">
        <v>0.6</v>
      </c>
      <c r="F370">
        <f t="shared" si="154"/>
        <v>210.49999999999878</v>
      </c>
      <c r="G370" s="1">
        <f t="shared" si="147"/>
        <v>176.98559999999947</v>
      </c>
      <c r="H370" s="1">
        <f t="shared" si="165"/>
        <v>0</v>
      </c>
      <c r="I370">
        <v>60</v>
      </c>
      <c r="J370" s="64">
        <f t="shared" si="155"/>
        <v>60.000000000000014</v>
      </c>
      <c r="K370" s="117">
        <f t="shared" si="152"/>
        <v>0.00041666666666666653</v>
      </c>
      <c r="L370" s="1">
        <f t="shared" si="156"/>
        <v>46681.38552146597</v>
      </c>
      <c r="M370" s="1">
        <f t="shared" si="148"/>
        <v>9093.77640028558</v>
      </c>
      <c r="N370" s="1">
        <f t="shared" si="166"/>
        <v>21000</v>
      </c>
      <c r="O370" s="74">
        <f t="shared" si="157"/>
        <v>0.43303697144217046</v>
      </c>
      <c r="P370" s="84">
        <f t="shared" si="158"/>
        <v>4</v>
      </c>
      <c r="Q370" s="1">
        <f t="shared" si="159"/>
        <v>5.869499999999999</v>
      </c>
      <c r="R370" s="1">
        <f t="shared" si="160"/>
        <v>2811.0260700894123</v>
      </c>
      <c r="S370" s="1">
        <f t="shared" si="161"/>
        <v>9.782499999999999</v>
      </c>
      <c r="T370" s="60">
        <f t="shared" si="149"/>
        <v>11.738999999999997</v>
      </c>
      <c r="U370" s="101">
        <f t="shared" si="162"/>
        <v>21459.581151832463</v>
      </c>
      <c r="V370" s="102">
        <f t="shared" si="150"/>
        <v>8199.20436963351</v>
      </c>
      <c r="W370" s="102">
        <f t="shared" si="163"/>
        <v>17022.6</v>
      </c>
      <c r="X370" s="102">
        <f t="shared" si="164"/>
        <v>0</v>
      </c>
      <c r="Y370" s="103">
        <f t="shared" si="151"/>
        <v>0</v>
      </c>
      <c r="AB370" s="76"/>
      <c r="AC370" s="76"/>
      <c r="AD370" s="76"/>
      <c r="AE370" s="77"/>
      <c r="AF370" s="78"/>
      <c r="AG370" s="24"/>
      <c r="AH370" s="53"/>
      <c r="AI370" s="53"/>
      <c r="AJ370" s="53"/>
      <c r="AK370" s="53"/>
      <c r="AL370" s="53"/>
      <c r="AM370" s="1"/>
      <c r="AN370" s="1"/>
    </row>
    <row r="371" spans="2:40" ht="12.75">
      <c r="B371" s="122">
        <f t="shared" si="146"/>
        <v>39225.14244476055</v>
      </c>
      <c r="C371">
        <v>0</v>
      </c>
      <c r="D371" s="2">
        <v>0</v>
      </c>
      <c r="E371">
        <v>1</v>
      </c>
      <c r="F371">
        <f t="shared" si="154"/>
        <v>211.49999999999878</v>
      </c>
      <c r="G371" s="1">
        <f t="shared" si="147"/>
        <v>176.98559999999947</v>
      </c>
      <c r="H371" s="1">
        <f t="shared" si="165"/>
        <v>0</v>
      </c>
      <c r="I371">
        <v>60</v>
      </c>
      <c r="J371" s="64">
        <f t="shared" si="155"/>
        <v>60.000000000000014</v>
      </c>
      <c r="K371" s="117">
        <f t="shared" si="152"/>
        <v>0.0006944444444444443</v>
      </c>
      <c r="L371" s="1">
        <f t="shared" si="156"/>
        <v>46681.38552146597</v>
      </c>
      <c r="M371" s="1">
        <f t="shared" si="148"/>
        <v>9093.77640028558</v>
      </c>
      <c r="N371" s="1">
        <f t="shared" si="166"/>
        <v>21000</v>
      </c>
      <c r="O371" s="74">
        <f t="shared" si="157"/>
        <v>0.43303697144217046</v>
      </c>
      <c r="P371" s="84">
        <f t="shared" si="158"/>
        <v>4</v>
      </c>
      <c r="Q371" s="1">
        <f t="shared" si="159"/>
        <v>9.782499999999997</v>
      </c>
      <c r="R371" s="1">
        <f t="shared" si="160"/>
        <v>2820.808570089412</v>
      </c>
      <c r="S371" s="1">
        <f t="shared" si="161"/>
        <v>9.782499999999997</v>
      </c>
      <c r="T371" s="60">
        <f t="shared" si="149"/>
        <v>19.564999999999994</v>
      </c>
      <c r="U371" s="101">
        <f t="shared" si="162"/>
        <v>21459.581151832463</v>
      </c>
      <c r="V371" s="102">
        <f t="shared" si="150"/>
        <v>8199.20436963351</v>
      </c>
      <c r="W371" s="102">
        <f t="shared" si="163"/>
        <v>17022.6</v>
      </c>
      <c r="X371" s="102">
        <f t="shared" si="164"/>
        <v>0</v>
      </c>
      <c r="Y371" s="103">
        <f t="shared" si="151"/>
        <v>0</v>
      </c>
      <c r="AB371" s="76"/>
      <c r="AC371" s="76"/>
      <c r="AD371" s="76"/>
      <c r="AE371" s="77"/>
      <c r="AF371" s="78"/>
      <c r="AG371" s="24"/>
      <c r="AH371" s="53"/>
      <c r="AI371" s="53"/>
      <c r="AJ371" s="53"/>
      <c r="AK371" s="53"/>
      <c r="AL371" s="53"/>
      <c r="AM371" s="1"/>
      <c r="AN371" s="1"/>
    </row>
    <row r="372" spans="2:40" ht="12.75">
      <c r="B372" s="122">
        <f t="shared" si="146"/>
        <v>39225.14286142722</v>
      </c>
      <c r="C372">
        <v>0</v>
      </c>
      <c r="D372" s="2">
        <v>0</v>
      </c>
      <c r="E372">
        <v>0.6</v>
      </c>
      <c r="F372">
        <f t="shared" si="154"/>
        <v>212.09999999999877</v>
      </c>
      <c r="G372" s="1">
        <f t="shared" si="147"/>
        <v>176.98559999999947</v>
      </c>
      <c r="H372" s="1">
        <f t="shared" si="165"/>
        <v>0</v>
      </c>
      <c r="I372">
        <v>60</v>
      </c>
      <c r="J372" s="64">
        <f t="shared" si="155"/>
        <v>60.000000000000014</v>
      </c>
      <c r="K372" s="117">
        <f t="shared" si="152"/>
        <v>0.00041666666666666653</v>
      </c>
      <c r="L372" s="1">
        <f t="shared" si="156"/>
        <v>46681.38552146597</v>
      </c>
      <c r="M372" s="1">
        <f t="shared" si="148"/>
        <v>9093.77640028558</v>
      </c>
      <c r="N372" s="1">
        <f t="shared" si="166"/>
        <v>21000</v>
      </c>
      <c r="O372" s="74">
        <f t="shared" si="157"/>
        <v>0.43303697144217046</v>
      </c>
      <c r="P372" s="84">
        <f t="shared" si="158"/>
        <v>4</v>
      </c>
      <c r="Q372" s="1">
        <f t="shared" si="159"/>
        <v>5.869499999999999</v>
      </c>
      <c r="R372" s="1">
        <f t="shared" si="160"/>
        <v>2826.678070089412</v>
      </c>
      <c r="S372" s="1">
        <f t="shared" si="161"/>
        <v>9.782499999999999</v>
      </c>
      <c r="T372" s="60">
        <f t="shared" si="149"/>
        <v>11.738999999999997</v>
      </c>
      <c r="U372" s="101">
        <f t="shared" si="162"/>
        <v>21459.581151832463</v>
      </c>
      <c r="V372" s="102">
        <f t="shared" si="150"/>
        <v>8199.20436963351</v>
      </c>
      <c r="W372" s="102">
        <f t="shared" si="163"/>
        <v>17022.6</v>
      </c>
      <c r="X372" s="102">
        <f t="shared" si="164"/>
        <v>0</v>
      </c>
      <c r="Y372" s="103">
        <f t="shared" si="151"/>
        <v>0</v>
      </c>
      <c r="AB372" s="76"/>
      <c r="AC372" s="76"/>
      <c r="AD372" s="76"/>
      <c r="AE372" s="77"/>
      <c r="AF372" s="78"/>
      <c r="AG372" s="24"/>
      <c r="AH372" s="53"/>
      <c r="AI372" s="53"/>
      <c r="AJ372" s="53"/>
      <c r="AK372" s="53"/>
      <c r="AL372" s="53"/>
      <c r="AM372" s="1"/>
      <c r="AN372" s="1"/>
    </row>
    <row r="373" spans="2:40" ht="12.75">
      <c r="B373" s="122">
        <f t="shared" si="146"/>
        <v>39225.14327809389</v>
      </c>
      <c r="C373">
        <v>0</v>
      </c>
      <c r="D373" s="2">
        <v>0</v>
      </c>
      <c r="E373">
        <v>0.6</v>
      </c>
      <c r="F373">
        <f t="shared" si="154"/>
        <v>212.69999999999877</v>
      </c>
      <c r="G373" s="1">
        <f t="shared" si="147"/>
        <v>176.98559999999947</v>
      </c>
      <c r="H373" s="1">
        <f t="shared" si="165"/>
        <v>0</v>
      </c>
      <c r="I373">
        <v>60</v>
      </c>
      <c r="J373" s="64">
        <f t="shared" si="155"/>
        <v>60.000000000000014</v>
      </c>
      <c r="K373" s="117">
        <f t="shared" si="152"/>
        <v>0.00041666666666666653</v>
      </c>
      <c r="L373" s="1">
        <f t="shared" si="156"/>
        <v>46681.38552146597</v>
      </c>
      <c r="M373" s="1">
        <f t="shared" si="148"/>
        <v>9093.77640028558</v>
      </c>
      <c r="N373" s="1">
        <f t="shared" si="166"/>
        <v>21000</v>
      </c>
      <c r="O373" s="74">
        <f t="shared" si="157"/>
        <v>0.43303697144217046</v>
      </c>
      <c r="P373" s="83">
        <f t="shared" si="158"/>
        <v>4</v>
      </c>
      <c r="Q373" s="1">
        <f t="shared" si="159"/>
        <v>5.869499999999999</v>
      </c>
      <c r="R373" s="1">
        <f t="shared" si="160"/>
        <v>2832.5475700894117</v>
      </c>
      <c r="S373" s="1">
        <f t="shared" si="161"/>
        <v>9.782499999999999</v>
      </c>
      <c r="T373" s="60">
        <f t="shared" si="149"/>
        <v>11.738999999999997</v>
      </c>
      <c r="U373" s="104">
        <f t="shared" si="162"/>
        <v>21459.581151832463</v>
      </c>
      <c r="V373" s="105">
        <f t="shared" si="150"/>
        <v>8199.20436963351</v>
      </c>
      <c r="W373" s="105">
        <f t="shared" si="163"/>
        <v>17022.6</v>
      </c>
      <c r="X373" s="105">
        <f t="shared" si="164"/>
        <v>0</v>
      </c>
      <c r="Y373" s="103">
        <f t="shared" si="151"/>
        <v>0</v>
      </c>
      <c r="AB373" s="76"/>
      <c r="AC373" s="76"/>
      <c r="AD373" s="76"/>
      <c r="AE373" s="77"/>
      <c r="AF373" s="78"/>
      <c r="AG373" s="24"/>
      <c r="AH373" s="53"/>
      <c r="AI373" s="53"/>
      <c r="AJ373" s="53"/>
      <c r="AK373" s="53"/>
      <c r="AL373" s="53"/>
      <c r="AM373" s="1"/>
      <c r="AN373" s="1"/>
    </row>
    <row r="374" spans="1:25" ht="12.75">
      <c r="A374" t="s">
        <v>108</v>
      </c>
      <c r="D374" s="2"/>
      <c r="J374" s="64"/>
      <c r="K374" s="44"/>
      <c r="L374" s="1"/>
      <c r="M374" s="1"/>
      <c r="N374" s="1"/>
      <c r="O374" s="74"/>
      <c r="P374" s="1"/>
      <c r="Q374" s="24"/>
      <c r="R374" s="24"/>
      <c r="S374" s="24"/>
      <c r="T374" s="60"/>
      <c r="U374" s="1"/>
      <c r="V374" s="1"/>
      <c r="W374" s="1"/>
      <c r="X374" s="1"/>
      <c r="Y374" s="1"/>
    </row>
    <row r="375" spans="2:20" ht="18.75" customHeight="1">
      <c r="B375" s="121">
        <f>(B374+(K375))</f>
        <v>0.18494475990654605</v>
      </c>
      <c r="C375" t="s">
        <v>136</v>
      </c>
      <c r="D375" s="115">
        <f>MAX(D10:D373)</f>
        <v>0.022</v>
      </c>
      <c r="E375" s="87"/>
      <c r="F375" s="88">
        <f>F373</f>
        <v>212.69999999999877</v>
      </c>
      <c r="G375" s="90"/>
      <c r="H375" s="110">
        <f>SUM(H10:H373)</f>
        <v>1750.7424000000008</v>
      </c>
      <c r="I375" s="87"/>
      <c r="J375" s="91">
        <f>AVERAGE(J25:J373)</f>
        <v>54.380559474028146</v>
      </c>
      <c r="K375" s="119">
        <f>(SUM(K10:K373))</f>
        <v>0.18494475990654605</v>
      </c>
      <c r="L375" t="s">
        <v>136</v>
      </c>
      <c r="M375" s="24"/>
      <c r="Q375" s="83">
        <f>SUM(Q10:Q373)</f>
        <v>2832.5475700894117</v>
      </c>
      <c r="R375" s="92"/>
      <c r="S375" s="93"/>
      <c r="T375" s="67">
        <f>SUM(T10:T373)</f>
        <v>5665.095140178823</v>
      </c>
    </row>
    <row r="376" spans="4:20" ht="54">
      <c r="D376" s="95" t="s">
        <v>111</v>
      </c>
      <c r="E376" s="81"/>
      <c r="F376" s="82" t="s">
        <v>117</v>
      </c>
      <c r="G376" s="82"/>
      <c r="H376" s="82" t="s">
        <v>129</v>
      </c>
      <c r="I376" s="89"/>
      <c r="J376" s="82" t="s">
        <v>116</v>
      </c>
      <c r="K376" s="82" t="s">
        <v>130</v>
      </c>
      <c r="Q376" s="68" t="s">
        <v>115</v>
      </c>
      <c r="R376" s="68"/>
      <c r="S376" s="68"/>
      <c r="T376" s="68" t="s">
        <v>105</v>
      </c>
    </row>
    <row r="377" spans="2:11" ht="12.75">
      <c r="B377" s="116"/>
      <c r="K377" s="44"/>
    </row>
  </sheetData>
  <sheetProtection/>
  <mergeCells count="10">
    <mergeCell ref="AA28:AB28"/>
    <mergeCell ref="AA29:AB29"/>
    <mergeCell ref="AA31:AB31"/>
    <mergeCell ref="AA32:AB32"/>
    <mergeCell ref="A3:Z4"/>
    <mergeCell ref="AF5:AG7"/>
    <mergeCell ref="AA26:AB26"/>
    <mergeCell ref="AA27:AB27"/>
    <mergeCell ref="U6:Y6"/>
    <mergeCell ref="AF24:AG24"/>
  </mergeCells>
  <conditionalFormatting sqref="AF9">
    <cfRule type="cellIs" priority="1" dxfId="12" operator="lessThan" stopIfTrue="1">
      <formula>$AE$9</formula>
    </cfRule>
  </conditionalFormatting>
  <conditionalFormatting sqref="M10:M375">
    <cfRule type="cellIs" priority="2" dxfId="0" operator="greaterThan" stopIfTrue="1">
      <formula>$N$15</formula>
    </cfRule>
    <cfRule type="cellIs" priority="3" dxfId="7" operator="lessThan" stopIfTrue="1">
      <formula>0</formula>
    </cfRule>
  </conditionalFormatting>
  <conditionalFormatting sqref="I10">
    <cfRule type="cellIs" priority="4" dxfId="5" operator="greaterThan" stopIfTrue="1">
      <formula>"J9-9"</formula>
    </cfRule>
  </conditionalFormatting>
  <conditionalFormatting sqref="I60">
    <cfRule type="cellIs" priority="5" dxfId="5" operator="greaterThan" stopIfTrue="1">
      <formula>"J59-9"</formula>
    </cfRule>
  </conditionalFormatting>
  <dataValidations count="3">
    <dataValidation type="list" allowBlank="1" showInputMessage="1" showErrorMessage="1" sqref="AB12">
      <formula1>$AA$27:$AA$33</formula1>
    </dataValidation>
    <dataValidation type="list" allowBlank="1" showInputMessage="1" showErrorMessage="1" sqref="AB13">
      <formula1>$AF$25:$AG$25</formula1>
    </dataValidation>
    <dataValidation type="list" allowBlank="1" showInputMessage="1" showErrorMessage="1" sqref="AB10">
      <formula1>$AA$34:$AA$43</formula1>
    </dataValidation>
  </dataValidations>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C3:AI76"/>
  <sheetViews>
    <sheetView zoomScalePageLayoutView="0" workbookViewId="0" topLeftCell="P1">
      <selection activeCell="W13" sqref="W13"/>
    </sheetView>
  </sheetViews>
  <sheetFormatPr defaultColWidth="9.140625" defaultRowHeight="12.75"/>
  <cols>
    <col min="1" max="2" width="1.8515625" style="0" customWidth="1"/>
    <col min="3" max="3" width="7.28125" style="0" customWidth="1"/>
    <col min="4" max="4" width="6.00390625" style="0" customWidth="1"/>
    <col min="5" max="5" width="6.421875" style="0" customWidth="1"/>
    <col min="6" max="6" width="6.57421875" style="0" customWidth="1"/>
    <col min="7" max="7" width="8.421875" style="0" customWidth="1"/>
    <col min="8" max="8" width="6.00390625" style="0" customWidth="1"/>
    <col min="9" max="9" width="7.28125" style="0" customWidth="1"/>
    <col min="10" max="10" width="7.57421875" style="0" customWidth="1"/>
    <col min="15" max="15" width="11.00390625" style="0" customWidth="1"/>
    <col min="16" max="16" width="7.00390625" style="0" customWidth="1"/>
    <col min="17" max="17" width="7.7109375" style="0" customWidth="1"/>
    <col min="18" max="18" width="8.140625" style="0" customWidth="1"/>
    <col min="19" max="19" width="8.8515625" style="0" customWidth="1"/>
    <col min="20" max="20" width="7.28125" style="0" customWidth="1"/>
    <col min="28" max="28" width="11.28125" style="0" customWidth="1"/>
  </cols>
  <sheetData>
    <row r="3" spans="4:21" ht="12.75">
      <c r="D3" s="218" t="s">
        <v>98</v>
      </c>
      <c r="E3" s="219"/>
      <c r="F3" s="219"/>
      <c r="G3" s="219"/>
      <c r="H3" s="219"/>
      <c r="I3" s="219"/>
      <c r="J3" s="219"/>
      <c r="K3" s="219"/>
      <c r="L3" s="219"/>
      <c r="M3" s="219"/>
      <c r="N3" s="219"/>
      <c r="O3" s="219"/>
      <c r="P3" s="219"/>
      <c r="Q3" s="219"/>
      <c r="R3" s="219"/>
      <c r="S3" s="219"/>
      <c r="T3" s="219"/>
      <c r="U3" s="220"/>
    </row>
    <row r="4" spans="4:21" ht="12.75">
      <c r="D4" s="221"/>
      <c r="E4" s="222"/>
      <c r="F4" s="222"/>
      <c r="G4" s="222"/>
      <c r="H4" s="222"/>
      <c r="I4" s="222"/>
      <c r="J4" s="222"/>
      <c r="K4" s="222"/>
      <c r="L4" s="222"/>
      <c r="M4" s="222"/>
      <c r="N4" s="222"/>
      <c r="O4" s="222"/>
      <c r="P4" s="222"/>
      <c r="Q4" s="222"/>
      <c r="R4" s="222"/>
      <c r="S4" s="222"/>
      <c r="T4" s="222"/>
      <c r="U4" s="223"/>
    </row>
    <row r="5" spans="22:28" ht="12.75">
      <c r="V5" t="s">
        <v>56</v>
      </c>
      <c r="W5" s="6">
        <v>10</v>
      </c>
      <c r="X5" t="s">
        <v>75</v>
      </c>
      <c r="Y5" t="s">
        <v>89</v>
      </c>
      <c r="AA5" s="213" t="s">
        <v>94</v>
      </c>
      <c r="AB5" s="213"/>
    </row>
    <row r="6" spans="3:28" ht="24" customHeight="1">
      <c r="C6" t="s">
        <v>100</v>
      </c>
      <c r="D6" s="8" t="s">
        <v>99</v>
      </c>
      <c r="E6" s="8" t="s">
        <v>56</v>
      </c>
      <c r="F6" s="8" t="s">
        <v>29</v>
      </c>
      <c r="G6" s="8" t="s">
        <v>101</v>
      </c>
      <c r="H6" s="21" t="s">
        <v>113</v>
      </c>
      <c r="I6" s="21" t="s">
        <v>112</v>
      </c>
      <c r="J6" s="8" t="s">
        <v>110</v>
      </c>
      <c r="K6" s="8" t="s">
        <v>82</v>
      </c>
      <c r="L6" s="8" t="s">
        <v>103</v>
      </c>
      <c r="M6" s="8" t="s">
        <v>104</v>
      </c>
      <c r="N6" s="8" t="s">
        <v>106</v>
      </c>
      <c r="O6" s="8" t="s">
        <v>105</v>
      </c>
      <c r="P6" s="8" t="s">
        <v>87</v>
      </c>
      <c r="Q6" s="8" t="s">
        <v>84</v>
      </c>
      <c r="R6" s="8" t="s">
        <v>85</v>
      </c>
      <c r="S6" s="8" t="s">
        <v>29</v>
      </c>
      <c r="T6" s="8" t="s">
        <v>32</v>
      </c>
      <c r="V6" s="8" t="s">
        <v>111</v>
      </c>
      <c r="W6" s="22">
        <v>0.022</v>
      </c>
      <c r="X6" t="s">
        <v>76</v>
      </c>
      <c r="Y6" t="s">
        <v>90</v>
      </c>
      <c r="Z6" s="3">
        <f>W12*VLOOKUP(W10,V25:AC31,7,0)/2000</f>
        <v>4500</v>
      </c>
      <c r="AA6" s="213"/>
      <c r="AB6" s="213"/>
    </row>
    <row r="7" spans="3:28" ht="12.75">
      <c r="C7" t="s">
        <v>102</v>
      </c>
      <c r="D7">
        <v>1</v>
      </c>
      <c r="E7">
        <v>3</v>
      </c>
      <c r="F7" s="2">
        <v>0.012</v>
      </c>
      <c r="G7">
        <v>0.4</v>
      </c>
      <c r="H7">
        <v>25</v>
      </c>
      <c r="I7" s="63">
        <f>IF(L7&lt;=M7,L7/K7*308,M7/K7*308)</f>
        <v>25</v>
      </c>
      <c r="J7" s="44">
        <f>G7/I7</f>
        <v>0.016</v>
      </c>
      <c r="K7" s="1">
        <f>SUM(P7:T7)</f>
        <v>111451.21894136125</v>
      </c>
      <c r="L7" s="1">
        <f aca="true" t="shared" si="0" ref="L7:L38">K7*H7/308</f>
        <v>9046.36517381179</v>
      </c>
      <c r="M7" s="1">
        <f>$W$9*(VLOOKUP($W$8,$V$34:$AD$42,4,0))</f>
        <v>12000</v>
      </c>
      <c r="N7" s="24">
        <f aca="true" t="shared" si="1" ref="N7:N38">$W$9*G7/H7*VLOOKUP($W$8,$V$34:$Y$42,2,0)*L7/M7</f>
        <v>8.091069011457265</v>
      </c>
      <c r="O7" s="60">
        <f>N7*$W$13</f>
        <v>21.03677942978889</v>
      </c>
      <c r="P7" s="1">
        <f>$W$9*((VLOOKUP($W$8,$V$34:$AD$42,7,0)*VLOOKUP($W$8,$V$34:$AD$42,5,0)*H7*H7)/(VLOOKUP($W$8,$V$34:$AD$42,9,0)/VLOOKUP($W$8,$V$34:$AD$42,8,0))/VLOOKUP($W$8,$V$34:$AD$42,8,0))+((VLOOKUP($W$10,$V$25:$AC$31,4,0)*VLOOKUP($W$10,$V$25:$AC$31,5,0)*H7*H7)/(((VLOOKUP($W$10,$V$25:$AC$31,7,0)/2000))/((VLOOKUP($W$10,$V$25:$AC$31,8,0))))/VLOOKUP($W$10,$V$25:$AC$31,8,0))*$Z$6</f>
        <v>2660.1767015706805</v>
      </c>
      <c r="Q7" s="1">
        <f>$W$9*(1.3+0.29/((VLOOKUP($W$8,$V$34:$AD$42,9,0))/VLOOKUP($W$8,$V$34:$AD$42,8,0)))+(1.3+0.29/((VLOOKUP($W$10,$V$25:$AC$31,7,0))/VLOOKUP($W$10,$V$25:$AC$31,8,0)))*$Z$6</f>
        <v>5855.265439790576</v>
      </c>
      <c r="R7" s="1">
        <f aca="true" t="shared" si="2" ref="R7:R38">$W$9*(VLOOKUP($W$8,$V$34:$AD$42,6,0)*H7)+(VLOOKUP($W$10,$V$25:$AC$31,3,0)*H7)*$Z$6</f>
        <v>5065.5</v>
      </c>
      <c r="S7" s="1">
        <f aca="true" t="shared" si="3" ref="S7:S38">$W$9*(20*F7*(VLOOKUP($W$8,$V$34:$AD$42,9,0)))+(20*F7*(VLOOKUP($W$10,$V$24:$AC$31,7,0)/2000))*$Z$6</f>
        <v>97383.35999999999</v>
      </c>
      <c r="T7" s="1">
        <f>$W$9*(0.8*E7*(VLOOKUP($W$8,$V$34:$AD$42,9,0))/2000)+(0.8*E7*((VLOOKUP($W$10,$V$25:$AC$31,7,0))/2000/2000))*$Z$6</f>
        <v>486.9168000000001</v>
      </c>
      <c r="V7" t="s">
        <v>34</v>
      </c>
      <c r="W7" s="6">
        <v>15</v>
      </c>
      <c r="X7" t="s">
        <v>77</v>
      </c>
      <c r="Y7" s="8" t="s">
        <v>19</v>
      </c>
      <c r="Z7" s="5">
        <f>SUM(Z8:Z12)</f>
        <v>190269.93899999998</v>
      </c>
      <c r="AA7" s="5">
        <f>375*$W$9*(VLOOKUP($W$8,$V$35:$AD$43,4,0))*0.83/$W$7</f>
        <v>249000</v>
      </c>
      <c r="AB7">
        <f>IF(AA7&lt;Z7,"The resistance of the train exceeds the available Tractive Effort. Add more locomotives or reduce speed.",0)</f>
        <v>0</v>
      </c>
    </row>
    <row r="8" spans="5:29" ht="12.75">
      <c r="E8">
        <v>0</v>
      </c>
      <c r="F8" s="2">
        <v>0.012</v>
      </c>
      <c r="G8">
        <v>0.8</v>
      </c>
      <c r="H8">
        <v>25</v>
      </c>
      <c r="I8" s="64">
        <f>IF(L8&lt;=M8,L8/K8*308,M8/K8*308)</f>
        <v>25</v>
      </c>
      <c r="J8" s="44">
        <f aca="true" t="shared" si="4" ref="J8:J70">G8/I8</f>
        <v>0.032</v>
      </c>
      <c r="K8" s="1">
        <f aca="true" t="shared" si="5" ref="K8:K39">SUM(P8:T8)</f>
        <v>110964.30214136124</v>
      </c>
      <c r="L8" s="1">
        <f t="shared" si="0"/>
        <v>9006.842706279322</v>
      </c>
      <c r="M8" s="1">
        <f aca="true" t="shared" si="6" ref="M8:M70">$W$9*(VLOOKUP($W$8,$V$34:$AD$42,4,0))</f>
        <v>12000</v>
      </c>
      <c r="N8" s="24">
        <f t="shared" si="1"/>
        <v>16.11144023299245</v>
      </c>
      <c r="O8" s="60">
        <f aca="true" t="shared" si="7" ref="O8:O70">N8*$W$13</f>
        <v>41.88974460578037</v>
      </c>
      <c r="P8" s="1">
        <f aca="true" t="shared" si="8" ref="P8:P38">$W$9*((VLOOKUP($W$8,$V$34:$AD$42,7,0)*VLOOKUP($W$8,$V$34:$AD$42,5,0)*H8*H8)/(VLOOKUP($W$8,$V$34:$AD$42,9,0)/VLOOKUP($W$8,$V$34:$AD$42,8,0))/VLOOKUP($W$8,$V$34:$AD$42,8,0))+((VLOOKUP($W$10,$V$25:$AC$31,4,0)*VLOOKUP($W$10,$V$25:$AC$31,5,0)*H8*H8)/(((VLOOKUP($W$10,$V$25:$AC$31,7,0)/2000))/((VLOOKUP($W$10,$V$25:$AC$31,8,0))))/VLOOKUP($W$10,$V$25:$AC$31,8,0))*$Z$6</f>
        <v>2660.1767015706805</v>
      </c>
      <c r="Q8" s="1">
        <f aca="true" t="shared" si="9" ref="Q8:Q38">$W$9*(1.3+0.29/((VLOOKUP($W$8,$V$34:$AD$42,9,0))/VLOOKUP($W$8,$V$34:$AD$42,8,0)))+(1.3+0.29/((VLOOKUP($W$10,$V$25:$AC$31,7,0))/VLOOKUP($W$10,$V$25:$AC$31,8,0)))*$Z$6</f>
        <v>5855.265439790576</v>
      </c>
      <c r="R8" s="1">
        <f t="shared" si="2"/>
        <v>5065.5</v>
      </c>
      <c r="S8" s="1">
        <f t="shared" si="3"/>
        <v>97383.35999999999</v>
      </c>
      <c r="T8" s="1">
        <f aca="true" t="shared" si="10" ref="T8:T38">$W$9*(0.8*E8*(VLOOKUP($W$8,$V$34:$AD$42,9,0))/2000)+(0.8*E8*((VLOOKUP($W$10,$V$25:$AC$31,7,0))/2000/2000))*$Z$6</f>
        <v>0</v>
      </c>
      <c r="V8" t="s">
        <v>72</v>
      </c>
      <c r="W8" s="6" t="s">
        <v>42</v>
      </c>
      <c r="X8" t="s">
        <v>78</v>
      </c>
      <c r="Y8" t="s">
        <v>91</v>
      </c>
      <c r="Z8" s="5">
        <f>Y18*Z6+(VLOOKUP(W8,V34:AD42,9,0)*W9*W18)</f>
        <v>1226.2500000000002</v>
      </c>
      <c r="AA8" s="54">
        <f>Z8/$Z$7</f>
        <v>0.006444791050256238</v>
      </c>
      <c r="AB8" s="5">
        <f>$Z$7*$W$7/308</f>
        <v>9266.393133116882</v>
      </c>
      <c r="AC8" t="s">
        <v>96</v>
      </c>
    </row>
    <row r="9" spans="4:29" ht="15.75">
      <c r="D9">
        <v>2</v>
      </c>
      <c r="E9">
        <v>4</v>
      </c>
      <c r="F9" s="2">
        <v>0.012</v>
      </c>
      <c r="G9">
        <v>0.5</v>
      </c>
      <c r="H9">
        <v>25</v>
      </c>
      <c r="I9" s="64">
        <f>IF(L9&lt;=M9,L9/K9*308,M9/K9*308)</f>
        <v>25</v>
      </c>
      <c r="J9" s="44">
        <f t="shared" si="4"/>
        <v>0.02</v>
      </c>
      <c r="K9" s="1">
        <f t="shared" si="5"/>
        <v>111613.52454136124</v>
      </c>
      <c r="L9" s="1">
        <f t="shared" si="0"/>
        <v>9059.539329655945</v>
      </c>
      <c r="M9" s="1">
        <f t="shared" si="6"/>
        <v>12000</v>
      </c>
      <c r="N9" s="24">
        <f t="shared" si="1"/>
        <v>10.128564970555345</v>
      </c>
      <c r="O9" s="60">
        <f t="shared" si="7"/>
        <v>26.334268923443897</v>
      </c>
      <c r="P9" s="1">
        <f t="shared" si="8"/>
        <v>2660.1767015706805</v>
      </c>
      <c r="Q9" s="1">
        <f t="shared" si="9"/>
        <v>5855.265439790576</v>
      </c>
      <c r="R9" s="1">
        <f t="shared" si="2"/>
        <v>5065.5</v>
      </c>
      <c r="S9" s="1">
        <f t="shared" si="3"/>
        <v>97383.35999999999</v>
      </c>
      <c r="T9" s="1">
        <f t="shared" si="10"/>
        <v>649.2224</v>
      </c>
      <c r="V9" t="s">
        <v>74</v>
      </c>
      <c r="W9" s="62">
        <v>4</v>
      </c>
      <c r="Y9" t="s">
        <v>92</v>
      </c>
      <c r="Z9" s="5">
        <f>Z6*Y19</f>
        <v>5850.029</v>
      </c>
      <c r="AA9" s="54">
        <f>Z9/$Z$7</f>
        <v>0.03074594458139812</v>
      </c>
      <c r="AB9" s="59">
        <f>ROUNDUP(AB8/VLOOKUP(W8,V34:AD42,4,0),0)</f>
        <v>4</v>
      </c>
      <c r="AC9" t="s">
        <v>97</v>
      </c>
    </row>
    <row r="10" spans="5:27" ht="12.75">
      <c r="E10">
        <v>4</v>
      </c>
      <c r="F10" s="2">
        <v>0.012</v>
      </c>
      <c r="G10">
        <v>0.5</v>
      </c>
      <c r="H10">
        <v>25</v>
      </c>
      <c r="I10" s="64">
        <f>IF(L10&lt;=M10,L10/K10*308,M10/K10*308)</f>
        <v>25</v>
      </c>
      <c r="J10" s="44">
        <f t="shared" si="4"/>
        <v>0.02</v>
      </c>
      <c r="K10" s="1">
        <f>SUM(P10:T10)</f>
        <v>111613.52454136124</v>
      </c>
      <c r="L10" s="1">
        <f t="shared" si="0"/>
        <v>9059.539329655945</v>
      </c>
      <c r="M10" s="1">
        <f t="shared" si="6"/>
        <v>12000</v>
      </c>
      <c r="N10" s="24">
        <f t="shared" si="1"/>
        <v>10.128564970555345</v>
      </c>
      <c r="O10" s="60">
        <f t="shared" si="7"/>
        <v>26.334268923443897</v>
      </c>
      <c r="P10" s="1">
        <f t="shared" si="8"/>
        <v>2660.1767015706805</v>
      </c>
      <c r="Q10" s="1">
        <f t="shared" si="9"/>
        <v>5855.265439790576</v>
      </c>
      <c r="R10" s="1">
        <f t="shared" si="2"/>
        <v>5065.5</v>
      </c>
      <c r="S10" s="1">
        <f t="shared" si="3"/>
        <v>97383.35999999999</v>
      </c>
      <c r="T10" s="1">
        <f t="shared" si="10"/>
        <v>649.2224</v>
      </c>
      <c r="V10" t="s">
        <v>57</v>
      </c>
      <c r="W10" s="6" t="s">
        <v>37</v>
      </c>
      <c r="Y10" t="s">
        <v>93</v>
      </c>
      <c r="Z10" s="5">
        <f>Z6*Y20</f>
        <v>3037.4999999999995</v>
      </c>
      <c r="AA10" s="54">
        <f>Z10/$Z$7</f>
        <v>0.015964161317148475</v>
      </c>
    </row>
    <row r="11" spans="4:27" ht="12.75">
      <c r="D11">
        <v>3</v>
      </c>
      <c r="E11">
        <v>3</v>
      </c>
      <c r="F11" s="2">
        <v>0.012</v>
      </c>
      <c r="G11">
        <v>0.4</v>
      </c>
      <c r="H11">
        <v>25</v>
      </c>
      <c r="I11" s="64">
        <f aca="true" t="shared" si="11" ref="I11:I70">IF(L11&lt;=M11,L11/K11*308,M11/K11*308)</f>
        <v>25</v>
      </c>
      <c r="J11" s="44">
        <f t="shared" si="4"/>
        <v>0.016</v>
      </c>
      <c r="K11" s="1">
        <f t="shared" si="5"/>
        <v>111451.21894136125</v>
      </c>
      <c r="L11" s="1">
        <f t="shared" si="0"/>
        <v>9046.36517381179</v>
      </c>
      <c r="M11" s="1">
        <f t="shared" si="6"/>
        <v>12000</v>
      </c>
      <c r="N11" s="24">
        <f t="shared" si="1"/>
        <v>8.091069011457265</v>
      </c>
      <c r="O11" s="60">
        <f t="shared" si="7"/>
        <v>21.03677942978889</v>
      </c>
      <c r="P11" s="1">
        <f t="shared" si="8"/>
        <v>2660.1767015706805</v>
      </c>
      <c r="Q11" s="1">
        <f t="shared" si="9"/>
        <v>5855.265439790576</v>
      </c>
      <c r="R11" s="1">
        <f t="shared" si="2"/>
        <v>5065.5</v>
      </c>
      <c r="S11" s="1">
        <f t="shared" si="3"/>
        <v>97383.35999999999</v>
      </c>
      <c r="T11" s="1">
        <f t="shared" si="10"/>
        <v>486.9168000000001</v>
      </c>
      <c r="W11" s="6" t="s">
        <v>81</v>
      </c>
      <c r="Y11" t="s">
        <v>29</v>
      </c>
      <c r="Z11" s="5">
        <f>$Z$6*Y21+W21*W9</f>
        <v>178536.15999999997</v>
      </c>
      <c r="AA11" s="54">
        <f>Z11/$Z$7</f>
        <v>0.9383308836820513</v>
      </c>
    </row>
    <row r="12" spans="5:27" ht="12.75">
      <c r="E12">
        <v>2</v>
      </c>
      <c r="F12" s="2">
        <v>0.012</v>
      </c>
      <c r="G12">
        <v>0.8</v>
      </c>
      <c r="H12">
        <v>25</v>
      </c>
      <c r="I12" s="64">
        <f t="shared" si="11"/>
        <v>25.000000000000004</v>
      </c>
      <c r="J12" s="44">
        <f t="shared" si="4"/>
        <v>0.032</v>
      </c>
      <c r="K12" s="1">
        <f t="shared" si="5"/>
        <v>111288.91334136124</v>
      </c>
      <c r="L12" s="1">
        <f t="shared" si="0"/>
        <v>9033.191017967634</v>
      </c>
      <c r="M12" s="1">
        <f t="shared" si="6"/>
        <v>12000</v>
      </c>
      <c r="N12" s="24">
        <f t="shared" si="1"/>
        <v>16.158572092940503</v>
      </c>
      <c r="O12" s="60">
        <f t="shared" si="7"/>
        <v>42.012287441645306</v>
      </c>
      <c r="P12" s="1">
        <f t="shared" si="8"/>
        <v>2660.1767015706805</v>
      </c>
      <c r="Q12" s="1">
        <f t="shared" si="9"/>
        <v>5855.265439790576</v>
      </c>
      <c r="R12" s="1">
        <f t="shared" si="2"/>
        <v>5065.5</v>
      </c>
      <c r="S12" s="1">
        <f t="shared" si="3"/>
        <v>97383.35999999999</v>
      </c>
      <c r="T12" s="1">
        <f t="shared" si="10"/>
        <v>324.6112</v>
      </c>
      <c r="V12" t="s">
        <v>73</v>
      </c>
      <c r="W12" s="6">
        <v>50</v>
      </c>
      <c r="Y12" t="s">
        <v>56</v>
      </c>
      <c r="Z12" s="5">
        <f>$Z$6*Y22</f>
        <v>1620</v>
      </c>
      <c r="AA12" s="54">
        <f>Z12/$Z$7</f>
        <v>0.008514219369145854</v>
      </c>
    </row>
    <row r="13" spans="4:27" ht="12.75">
      <c r="D13">
        <v>4</v>
      </c>
      <c r="E13">
        <v>3</v>
      </c>
      <c r="F13" s="2">
        <v>0.012</v>
      </c>
      <c r="G13">
        <v>0.3</v>
      </c>
      <c r="H13">
        <v>25</v>
      </c>
      <c r="I13" s="64">
        <f t="shared" si="11"/>
        <v>25</v>
      </c>
      <c r="J13" s="44">
        <f t="shared" si="4"/>
        <v>0.012</v>
      </c>
      <c r="K13" s="1">
        <f t="shared" si="5"/>
        <v>111451.21894136125</v>
      </c>
      <c r="L13" s="1">
        <f t="shared" si="0"/>
        <v>9046.36517381179</v>
      </c>
      <c r="M13" s="1">
        <f t="shared" si="6"/>
        <v>12000</v>
      </c>
      <c r="N13" s="24">
        <f t="shared" si="1"/>
        <v>6.068301758592948</v>
      </c>
      <c r="O13" s="60">
        <f t="shared" si="7"/>
        <v>15.777584572341667</v>
      </c>
      <c r="P13" s="1">
        <f t="shared" si="8"/>
        <v>2660.1767015706805</v>
      </c>
      <c r="Q13" s="1">
        <f t="shared" si="9"/>
        <v>5855.265439790576</v>
      </c>
      <c r="R13" s="1">
        <f t="shared" si="2"/>
        <v>5065.5</v>
      </c>
      <c r="S13" s="1">
        <f t="shared" si="3"/>
        <v>97383.35999999999</v>
      </c>
      <c r="T13" s="1">
        <f t="shared" si="10"/>
        <v>486.9168000000001</v>
      </c>
      <c r="V13" s="8" t="s">
        <v>107</v>
      </c>
      <c r="W13" s="61">
        <v>2.6</v>
      </c>
      <c r="X13" t="s">
        <v>109</v>
      </c>
      <c r="AA13" s="53"/>
    </row>
    <row r="14" spans="5:20" ht="12.75">
      <c r="E14">
        <v>3</v>
      </c>
      <c r="F14" s="2">
        <v>0.012</v>
      </c>
      <c r="G14">
        <v>0.4</v>
      </c>
      <c r="H14">
        <v>25</v>
      </c>
      <c r="I14" s="64">
        <f t="shared" si="11"/>
        <v>25</v>
      </c>
      <c r="J14" s="44">
        <f t="shared" si="4"/>
        <v>0.016</v>
      </c>
      <c r="K14" s="1">
        <f t="shared" si="5"/>
        <v>111451.21894136125</v>
      </c>
      <c r="L14" s="1">
        <f t="shared" si="0"/>
        <v>9046.36517381179</v>
      </c>
      <c r="M14" s="1">
        <f t="shared" si="6"/>
        <v>12000</v>
      </c>
      <c r="N14" s="24">
        <f t="shared" si="1"/>
        <v>8.091069011457265</v>
      </c>
      <c r="O14" s="60">
        <f t="shared" si="7"/>
        <v>21.03677942978889</v>
      </c>
      <c r="P14" s="1">
        <f t="shared" si="8"/>
        <v>2660.1767015706805</v>
      </c>
      <c r="Q14" s="1">
        <f t="shared" si="9"/>
        <v>5855.265439790576</v>
      </c>
      <c r="R14" s="1">
        <f t="shared" si="2"/>
        <v>5065.5</v>
      </c>
      <c r="S14" s="1">
        <f t="shared" si="3"/>
        <v>97383.35999999999</v>
      </c>
      <c r="T14" s="1">
        <f t="shared" si="10"/>
        <v>486.9168000000001</v>
      </c>
    </row>
    <row r="15" spans="5:23" ht="12.75">
      <c r="E15">
        <v>0</v>
      </c>
      <c r="F15" s="2">
        <v>0.012</v>
      </c>
      <c r="G15">
        <v>0.3</v>
      </c>
      <c r="H15">
        <v>25</v>
      </c>
      <c r="I15" s="64">
        <f t="shared" si="11"/>
        <v>25</v>
      </c>
      <c r="J15" s="44">
        <f t="shared" si="4"/>
        <v>0.012</v>
      </c>
      <c r="K15" s="1">
        <f t="shared" si="5"/>
        <v>110964.30214136124</v>
      </c>
      <c r="L15" s="1">
        <f t="shared" si="0"/>
        <v>9006.842706279322</v>
      </c>
      <c r="M15" s="1">
        <f t="shared" si="6"/>
        <v>12000</v>
      </c>
      <c r="N15" s="24">
        <f t="shared" si="1"/>
        <v>6.041790087372169</v>
      </c>
      <c r="O15" s="60">
        <f t="shared" si="7"/>
        <v>15.70865422716764</v>
      </c>
      <c r="P15" s="1">
        <f t="shared" si="8"/>
        <v>2660.1767015706805</v>
      </c>
      <c r="Q15" s="1">
        <f t="shared" si="9"/>
        <v>5855.265439790576</v>
      </c>
      <c r="R15" s="1">
        <f t="shared" si="2"/>
        <v>5065.5</v>
      </c>
      <c r="S15" s="1">
        <f t="shared" si="3"/>
        <v>97383.35999999999</v>
      </c>
      <c r="T15" s="1">
        <f t="shared" si="10"/>
        <v>0</v>
      </c>
      <c r="W15" s="58"/>
    </row>
    <row r="16" spans="4:25" ht="12.75">
      <c r="D16">
        <v>5</v>
      </c>
      <c r="E16">
        <v>4</v>
      </c>
      <c r="F16" s="2">
        <v>0.012</v>
      </c>
      <c r="G16">
        <v>0.3</v>
      </c>
      <c r="H16">
        <v>25</v>
      </c>
      <c r="I16" s="64">
        <f t="shared" si="11"/>
        <v>25</v>
      </c>
      <c r="J16" s="44">
        <f t="shared" si="4"/>
        <v>0.012</v>
      </c>
      <c r="K16" s="1">
        <f t="shared" si="5"/>
        <v>111613.52454136124</v>
      </c>
      <c r="L16" s="1">
        <f t="shared" si="0"/>
        <v>9059.539329655945</v>
      </c>
      <c r="M16" s="1">
        <f t="shared" si="6"/>
        <v>12000</v>
      </c>
      <c r="N16" s="24">
        <f t="shared" si="1"/>
        <v>6.077138982333207</v>
      </c>
      <c r="O16" s="60">
        <f t="shared" si="7"/>
        <v>15.800561354066339</v>
      </c>
      <c r="P16" s="1">
        <f t="shared" si="8"/>
        <v>2660.1767015706805</v>
      </c>
      <c r="Q16" s="1">
        <f t="shared" si="9"/>
        <v>5855.265439790576</v>
      </c>
      <c r="R16" s="1">
        <f t="shared" si="2"/>
        <v>5065.5</v>
      </c>
      <c r="S16" s="1">
        <f t="shared" si="3"/>
        <v>97383.35999999999</v>
      </c>
      <c r="T16" s="1">
        <f t="shared" si="10"/>
        <v>649.2224</v>
      </c>
      <c r="W16" s="56" t="s">
        <v>72</v>
      </c>
      <c r="Y16" t="s">
        <v>88</v>
      </c>
    </row>
    <row r="17" spans="5:25" ht="12.75">
      <c r="E17">
        <v>0</v>
      </c>
      <c r="F17" s="2">
        <v>0.012</v>
      </c>
      <c r="G17">
        <v>0.3</v>
      </c>
      <c r="H17">
        <v>25</v>
      </c>
      <c r="I17" s="64">
        <f t="shared" si="11"/>
        <v>25</v>
      </c>
      <c r="J17" s="44">
        <f t="shared" si="4"/>
        <v>0.012</v>
      </c>
      <c r="K17" s="1">
        <f t="shared" si="5"/>
        <v>110964.30214136124</v>
      </c>
      <c r="L17" s="1">
        <f t="shared" si="0"/>
        <v>9006.842706279322</v>
      </c>
      <c r="M17" s="1">
        <f t="shared" si="6"/>
        <v>12000</v>
      </c>
      <c r="N17" s="24">
        <f t="shared" si="1"/>
        <v>6.041790087372169</v>
      </c>
      <c r="O17" s="60">
        <f t="shared" si="7"/>
        <v>15.70865422716764</v>
      </c>
      <c r="P17" s="1">
        <f t="shared" si="8"/>
        <v>2660.1767015706805</v>
      </c>
      <c r="Q17" s="1">
        <f t="shared" si="9"/>
        <v>5855.265439790576</v>
      </c>
      <c r="R17" s="1">
        <f t="shared" si="2"/>
        <v>5065.5</v>
      </c>
      <c r="S17" s="1">
        <f t="shared" si="3"/>
        <v>97383.35999999999</v>
      </c>
      <c r="T17" s="1">
        <f t="shared" si="10"/>
        <v>0</v>
      </c>
      <c r="V17" t="s">
        <v>19</v>
      </c>
      <c r="W17" s="52">
        <f>SUM(W18:W22)</f>
        <v>86.91651308900522</v>
      </c>
      <c r="X17" t="s">
        <v>79</v>
      </c>
      <c r="Y17" s="52">
        <f>SUM(Y18:Y22)</f>
        <v>42.14750644444444</v>
      </c>
    </row>
    <row r="18" spans="5:25" ht="12.75">
      <c r="E18">
        <v>5</v>
      </c>
      <c r="F18" s="2">
        <v>0.012</v>
      </c>
      <c r="G18">
        <v>0.3</v>
      </c>
      <c r="H18">
        <v>25</v>
      </c>
      <c r="I18" s="64">
        <f t="shared" si="11"/>
        <v>24.999999999999996</v>
      </c>
      <c r="J18" s="44">
        <f t="shared" si="4"/>
        <v>0.012000000000000002</v>
      </c>
      <c r="K18" s="1">
        <f t="shared" si="5"/>
        <v>111775.83014136125</v>
      </c>
      <c r="L18" s="1">
        <f t="shared" si="0"/>
        <v>9072.7134855001</v>
      </c>
      <c r="M18" s="1">
        <f t="shared" si="6"/>
        <v>12000</v>
      </c>
      <c r="N18" s="24">
        <f t="shared" si="1"/>
        <v>6.085976206073467</v>
      </c>
      <c r="O18" s="60">
        <f t="shared" si="7"/>
        <v>15.823538135791015</v>
      </c>
      <c r="P18" s="1">
        <f t="shared" si="8"/>
        <v>2660.1767015706805</v>
      </c>
      <c r="Q18" s="1">
        <f t="shared" si="9"/>
        <v>5855.265439790576</v>
      </c>
      <c r="R18" s="1">
        <f t="shared" si="2"/>
        <v>5065.5</v>
      </c>
      <c r="S18" s="1">
        <f t="shared" si="3"/>
        <v>97383.35999999999</v>
      </c>
      <c r="T18" s="1">
        <f t="shared" si="10"/>
        <v>811.528</v>
      </c>
      <c r="V18" t="s">
        <v>68</v>
      </c>
      <c r="W18" s="52">
        <f>(VLOOKUP($W$8,$V$34:$AD$42,7,0)*VLOOKUP($W$8,$V$34:$AD$42,5,0)*$W$7*$W$7)/(VLOOKUP($W$8,$V$34:$AD$42,9,0)/VLOOKUP($W$8,$V$34:$AD$42,8,0))/VLOOKUP($W$8,$V$34:$AD$42,8,0)</f>
        <v>0.35340314136125656</v>
      </c>
      <c r="X18" t="s">
        <v>79</v>
      </c>
      <c r="Y18" s="52">
        <f>(VLOOKUP($W$10,$V$25:$AC$31,4,0)*VLOOKUP($W$10,$V$25:$AC$31,5,0)*$W$7*$W$7)/(((VLOOKUP($W$10,$V$25:$AC$31,7,0)/2000))/((VLOOKUP($W$10,$V$25:$AC$31,8,0))))/VLOOKUP($W$10,$V$25:$AC$31,8,0)</f>
        <v>0.21250000000000005</v>
      </c>
    </row>
    <row r="19" spans="4:25" ht="12.75">
      <c r="D19">
        <v>6</v>
      </c>
      <c r="E19">
        <v>0</v>
      </c>
      <c r="F19" s="2">
        <v>0.012</v>
      </c>
      <c r="G19">
        <v>0.3</v>
      </c>
      <c r="H19">
        <v>25</v>
      </c>
      <c r="I19" s="64">
        <f t="shared" si="11"/>
        <v>25</v>
      </c>
      <c r="J19" s="44">
        <f t="shared" si="4"/>
        <v>0.012</v>
      </c>
      <c r="K19" s="1">
        <f t="shared" si="5"/>
        <v>110964.30214136124</v>
      </c>
      <c r="L19" s="1">
        <f t="shared" si="0"/>
        <v>9006.842706279322</v>
      </c>
      <c r="M19" s="1">
        <f t="shared" si="6"/>
        <v>12000</v>
      </c>
      <c r="N19" s="24">
        <f t="shared" si="1"/>
        <v>6.041790087372169</v>
      </c>
      <c r="O19" s="60">
        <f t="shared" si="7"/>
        <v>15.70865422716764</v>
      </c>
      <c r="P19" s="1">
        <f t="shared" si="8"/>
        <v>2660.1767015706805</v>
      </c>
      <c r="Q19" s="1">
        <f t="shared" si="9"/>
        <v>5855.265439790576</v>
      </c>
      <c r="R19" s="1">
        <f t="shared" si="2"/>
        <v>5065.5</v>
      </c>
      <c r="S19" s="1">
        <f t="shared" si="3"/>
        <v>97383.35999999999</v>
      </c>
      <c r="T19" s="1">
        <f t="shared" si="10"/>
        <v>0</v>
      </c>
      <c r="V19" t="s">
        <v>66</v>
      </c>
      <c r="W19" s="52">
        <f>1.3+0.29/((VLOOKUP($W$8,$V$34:$AD$42,9,0))/VLOOKUP($W$8,$V$34:$AD$42,8,0))</f>
        <v>1.3091099476439791</v>
      </c>
      <c r="X19" t="s">
        <v>79</v>
      </c>
      <c r="Y19" s="52">
        <f>1.3+0.29/((VLOOKUP($W$10,$V$25:$AC$31,7,0))/VLOOKUP($W$10,$V$25:$AC$31,8,0))</f>
        <v>1.3000064444444446</v>
      </c>
    </row>
    <row r="20" spans="5:25" ht="12.75">
      <c r="E20">
        <v>0</v>
      </c>
      <c r="F20" s="2">
        <v>0.012</v>
      </c>
      <c r="G20">
        <v>0.3</v>
      </c>
      <c r="H20">
        <v>25</v>
      </c>
      <c r="I20" s="64">
        <f t="shared" si="11"/>
        <v>25</v>
      </c>
      <c r="J20" s="44">
        <f t="shared" si="4"/>
        <v>0.012</v>
      </c>
      <c r="K20" s="1">
        <f t="shared" si="5"/>
        <v>110964.30214136124</v>
      </c>
      <c r="L20" s="1">
        <f t="shared" si="0"/>
        <v>9006.842706279322</v>
      </c>
      <c r="M20" s="1">
        <f t="shared" si="6"/>
        <v>12000</v>
      </c>
      <c r="N20" s="24">
        <f t="shared" si="1"/>
        <v>6.041790087372169</v>
      </c>
      <c r="O20" s="60">
        <f t="shared" si="7"/>
        <v>15.70865422716764</v>
      </c>
      <c r="P20" s="1">
        <f t="shared" si="8"/>
        <v>2660.1767015706805</v>
      </c>
      <c r="Q20" s="1">
        <f t="shared" si="9"/>
        <v>5855.265439790576</v>
      </c>
      <c r="R20" s="1">
        <f t="shared" si="2"/>
        <v>5065.5</v>
      </c>
      <c r="S20" s="1">
        <f t="shared" si="3"/>
        <v>97383.35999999999</v>
      </c>
      <c r="T20" s="1">
        <f t="shared" si="10"/>
        <v>0</v>
      </c>
      <c r="V20" t="s">
        <v>67</v>
      </c>
      <c r="W20" s="52">
        <f>(VLOOKUP($W$8,$V$34:$AD$42,6,0)*W7)</f>
        <v>0.44999999999999996</v>
      </c>
      <c r="X20" t="s">
        <v>79</v>
      </c>
      <c r="Y20" s="52">
        <f>(VLOOKUP($W$10,$V$25:$AC$31,3,0)*$W$7)</f>
        <v>0.6749999999999999</v>
      </c>
    </row>
    <row r="21" spans="5:25" ht="12.75">
      <c r="E21">
        <v>0</v>
      </c>
      <c r="F21" s="2">
        <v>0.012</v>
      </c>
      <c r="G21">
        <v>0.3</v>
      </c>
      <c r="H21">
        <v>25</v>
      </c>
      <c r="I21" s="64">
        <f t="shared" si="11"/>
        <v>25</v>
      </c>
      <c r="J21" s="44">
        <f t="shared" si="4"/>
        <v>0.012</v>
      </c>
      <c r="K21" s="1">
        <f t="shared" si="5"/>
        <v>110964.30214136124</v>
      </c>
      <c r="L21" s="1">
        <f t="shared" si="0"/>
        <v>9006.842706279322</v>
      </c>
      <c r="M21" s="1">
        <f t="shared" si="6"/>
        <v>12000</v>
      </c>
      <c r="N21" s="24">
        <f t="shared" si="1"/>
        <v>6.041790087372169</v>
      </c>
      <c r="O21" s="60">
        <f t="shared" si="7"/>
        <v>15.70865422716764</v>
      </c>
      <c r="P21" s="1">
        <f t="shared" si="8"/>
        <v>2660.1767015706805</v>
      </c>
      <c r="Q21" s="1">
        <f t="shared" si="9"/>
        <v>5855.265439790576</v>
      </c>
      <c r="R21" s="1">
        <f t="shared" si="2"/>
        <v>5065.5</v>
      </c>
      <c r="S21" s="1">
        <f t="shared" si="3"/>
        <v>97383.35999999999</v>
      </c>
      <c r="T21" s="1">
        <f t="shared" si="10"/>
        <v>0</v>
      </c>
      <c r="V21" t="s">
        <v>29</v>
      </c>
      <c r="W21" s="3">
        <f>20*$W$6*(VLOOKUP($W$8,$V$34:$AD$42,9,0))</f>
        <v>84.03999999999999</v>
      </c>
      <c r="Y21" s="3">
        <f>20*$W$6*(VLOOKUP($W$10,$V$24:$AC$31,7,0)/2000)</f>
        <v>39.599999999999994</v>
      </c>
    </row>
    <row r="22" spans="4:25" ht="12.75">
      <c r="D22">
        <v>7</v>
      </c>
      <c r="E22">
        <v>10</v>
      </c>
      <c r="F22" s="2">
        <v>0.012</v>
      </c>
      <c r="G22">
        <v>0.3</v>
      </c>
      <c r="H22">
        <v>25</v>
      </c>
      <c r="I22" s="64">
        <f t="shared" si="11"/>
        <v>25</v>
      </c>
      <c r="J22" s="44">
        <f t="shared" si="4"/>
        <v>0.012</v>
      </c>
      <c r="K22" s="1">
        <f t="shared" si="5"/>
        <v>112587.35814136124</v>
      </c>
      <c r="L22" s="1">
        <f t="shared" si="0"/>
        <v>9138.58426472088</v>
      </c>
      <c r="M22" s="1">
        <f t="shared" si="6"/>
        <v>12000</v>
      </c>
      <c r="N22" s="24">
        <f t="shared" si="1"/>
        <v>6.130162324774766</v>
      </c>
      <c r="O22" s="60">
        <f t="shared" si="7"/>
        <v>15.938422044414391</v>
      </c>
      <c r="P22" s="1">
        <f t="shared" si="8"/>
        <v>2660.1767015706805</v>
      </c>
      <c r="Q22" s="1">
        <f t="shared" si="9"/>
        <v>5855.265439790576</v>
      </c>
      <c r="R22" s="1">
        <f t="shared" si="2"/>
        <v>5065.5</v>
      </c>
      <c r="S22" s="1">
        <f t="shared" si="3"/>
        <v>97383.35999999999</v>
      </c>
      <c r="T22" s="1">
        <f t="shared" si="10"/>
        <v>1623.056</v>
      </c>
      <c r="V22" t="s">
        <v>56</v>
      </c>
      <c r="W22" s="26">
        <f>0.8*$W$5*(VLOOKUP($W$8,$V$34:$AD$42,9,0))/2000</f>
        <v>0.764</v>
      </c>
      <c r="Y22" s="26">
        <f>0.8*$W$5*((VLOOKUP($W$10,$V$25:$AC$31,7,0))/2000/2000)</f>
        <v>0.36</v>
      </c>
    </row>
    <row r="23" spans="5:28" ht="12.75">
      <c r="E23">
        <v>0</v>
      </c>
      <c r="F23" s="2">
        <v>0.012</v>
      </c>
      <c r="G23">
        <v>0.3</v>
      </c>
      <c r="H23">
        <v>25</v>
      </c>
      <c r="I23" s="64">
        <f t="shared" si="11"/>
        <v>25</v>
      </c>
      <c r="J23" s="44">
        <f t="shared" si="4"/>
        <v>0.012</v>
      </c>
      <c r="K23" s="1">
        <f t="shared" si="5"/>
        <v>110964.30214136124</v>
      </c>
      <c r="L23" s="1">
        <f t="shared" si="0"/>
        <v>9006.842706279322</v>
      </c>
      <c r="M23" s="1">
        <f t="shared" si="6"/>
        <v>12000</v>
      </c>
      <c r="N23" s="24">
        <f t="shared" si="1"/>
        <v>6.041790087372169</v>
      </c>
      <c r="O23" s="60">
        <f t="shared" si="7"/>
        <v>15.70865422716764</v>
      </c>
      <c r="P23" s="1">
        <f t="shared" si="8"/>
        <v>2660.1767015706805</v>
      </c>
      <c r="Q23" s="1">
        <f t="shared" si="9"/>
        <v>5855.265439790576</v>
      </c>
      <c r="R23" s="1">
        <f t="shared" si="2"/>
        <v>5065.5</v>
      </c>
      <c r="S23" s="1">
        <f t="shared" si="3"/>
        <v>97383.35999999999</v>
      </c>
      <c r="T23" s="1">
        <f t="shared" si="10"/>
        <v>0</v>
      </c>
      <c r="AA23" t="s">
        <v>80</v>
      </c>
      <c r="AB23" t="s">
        <v>81</v>
      </c>
    </row>
    <row r="24" spans="5:29" ht="12.75">
      <c r="E24">
        <v>8</v>
      </c>
      <c r="F24" s="2">
        <v>0.012</v>
      </c>
      <c r="G24">
        <v>0.3</v>
      </c>
      <c r="H24">
        <v>25</v>
      </c>
      <c r="I24" s="64">
        <f t="shared" si="11"/>
        <v>25</v>
      </c>
      <c r="J24" s="44">
        <f t="shared" si="4"/>
        <v>0.012</v>
      </c>
      <c r="K24" s="1">
        <f t="shared" si="5"/>
        <v>112262.74694136124</v>
      </c>
      <c r="L24" s="1">
        <f t="shared" si="0"/>
        <v>9112.235953032568</v>
      </c>
      <c r="M24" s="1">
        <f t="shared" si="6"/>
        <v>12000</v>
      </c>
      <c r="N24" s="24">
        <f t="shared" si="1"/>
        <v>6.112487877294247</v>
      </c>
      <c r="O24" s="60">
        <f t="shared" si="7"/>
        <v>15.892468480965043</v>
      </c>
      <c r="P24" s="1">
        <f t="shared" si="8"/>
        <v>2660.1767015706805</v>
      </c>
      <c r="Q24" s="1">
        <f t="shared" si="9"/>
        <v>5855.265439790576</v>
      </c>
      <c r="R24" s="1">
        <f t="shared" si="2"/>
        <v>5065.5</v>
      </c>
      <c r="S24" s="1">
        <f t="shared" si="3"/>
        <v>97383.35999999999</v>
      </c>
      <c r="T24" s="1">
        <f t="shared" si="10"/>
        <v>1298.4448</v>
      </c>
      <c r="V24" s="3" t="s">
        <v>57</v>
      </c>
      <c r="W24" s="3"/>
      <c r="X24" s="3" t="s">
        <v>62</v>
      </c>
      <c r="Y24" s="3" t="s">
        <v>63</v>
      </c>
      <c r="Z24" s="33" t="s">
        <v>52</v>
      </c>
      <c r="AA24" s="34" t="s">
        <v>58</v>
      </c>
      <c r="AB24" s="35" t="s">
        <v>59</v>
      </c>
      <c r="AC24" s="3" t="s">
        <v>13</v>
      </c>
    </row>
    <row r="25" spans="4:29" ht="12.75">
      <c r="D25">
        <v>8</v>
      </c>
      <c r="E25">
        <v>0</v>
      </c>
      <c r="F25" s="2">
        <v>0.012</v>
      </c>
      <c r="G25">
        <v>0.3</v>
      </c>
      <c r="H25">
        <v>25</v>
      </c>
      <c r="I25" s="64">
        <f t="shared" si="11"/>
        <v>25</v>
      </c>
      <c r="J25" s="44">
        <f t="shared" si="4"/>
        <v>0.012</v>
      </c>
      <c r="K25" s="1">
        <f t="shared" si="5"/>
        <v>110964.30214136124</v>
      </c>
      <c r="L25" s="1">
        <f t="shared" si="0"/>
        <v>9006.842706279322</v>
      </c>
      <c r="M25" s="1">
        <f t="shared" si="6"/>
        <v>12000</v>
      </c>
      <c r="N25" s="24">
        <f t="shared" si="1"/>
        <v>6.041790087372169</v>
      </c>
      <c r="O25" s="60">
        <f t="shared" si="7"/>
        <v>15.70865422716764</v>
      </c>
      <c r="P25" s="1">
        <f t="shared" si="8"/>
        <v>2660.1767015706805</v>
      </c>
      <c r="Q25" s="1">
        <f t="shared" si="9"/>
        <v>5855.265439790576</v>
      </c>
      <c r="R25" s="1">
        <f t="shared" si="2"/>
        <v>5065.5</v>
      </c>
      <c r="S25" s="1">
        <f t="shared" si="3"/>
        <v>97383.35999999999</v>
      </c>
      <c r="T25" s="1">
        <f t="shared" si="10"/>
        <v>0</v>
      </c>
      <c r="V25" s="205" t="s">
        <v>36</v>
      </c>
      <c r="W25" s="200"/>
      <c r="X25" s="4">
        <v>0.045</v>
      </c>
      <c r="Y25" s="4">
        <v>0.0005</v>
      </c>
      <c r="Z25" s="4">
        <v>100</v>
      </c>
      <c r="AA25" s="36">
        <v>45000</v>
      </c>
      <c r="AB25" s="36">
        <v>180000</v>
      </c>
      <c r="AC25" s="4">
        <v>4</v>
      </c>
    </row>
    <row r="26" spans="5:29" ht="12.75">
      <c r="E26">
        <v>10</v>
      </c>
      <c r="F26" s="2">
        <v>0.012</v>
      </c>
      <c r="G26">
        <v>0.3</v>
      </c>
      <c r="H26">
        <v>25</v>
      </c>
      <c r="I26" s="64">
        <f t="shared" si="11"/>
        <v>25</v>
      </c>
      <c r="J26" s="44">
        <f t="shared" si="4"/>
        <v>0.012</v>
      </c>
      <c r="K26" s="1">
        <f t="shared" si="5"/>
        <v>112587.35814136124</v>
      </c>
      <c r="L26" s="1">
        <f t="shared" si="0"/>
        <v>9138.58426472088</v>
      </c>
      <c r="M26" s="1">
        <f t="shared" si="6"/>
        <v>12000</v>
      </c>
      <c r="N26" s="24">
        <f t="shared" si="1"/>
        <v>6.130162324774766</v>
      </c>
      <c r="O26" s="60">
        <f t="shared" si="7"/>
        <v>15.938422044414391</v>
      </c>
      <c r="P26" s="1">
        <f t="shared" si="8"/>
        <v>2660.1767015706805</v>
      </c>
      <c r="Q26" s="1">
        <f t="shared" si="9"/>
        <v>5855.265439790576</v>
      </c>
      <c r="R26" s="1">
        <f t="shared" si="2"/>
        <v>5065.5</v>
      </c>
      <c r="S26" s="1">
        <f t="shared" si="3"/>
        <v>97383.35999999999</v>
      </c>
      <c r="T26" s="1">
        <f t="shared" si="10"/>
        <v>1623.056</v>
      </c>
      <c r="V26" s="205" t="s">
        <v>38</v>
      </c>
      <c r="W26" s="200"/>
      <c r="X26" s="4">
        <v>0.045</v>
      </c>
      <c r="Y26" s="4">
        <v>0.0005</v>
      </c>
      <c r="Z26" s="4">
        <v>140</v>
      </c>
      <c r="AA26" s="36">
        <v>67000</v>
      </c>
      <c r="AB26" s="36">
        <v>268000</v>
      </c>
      <c r="AC26" s="4">
        <v>4</v>
      </c>
    </row>
    <row r="27" spans="5:29" ht="12.75">
      <c r="E27">
        <v>0</v>
      </c>
      <c r="F27" s="2">
        <v>0.012</v>
      </c>
      <c r="G27">
        <v>0.3</v>
      </c>
      <c r="H27">
        <v>25</v>
      </c>
      <c r="I27" s="64">
        <f t="shared" si="11"/>
        <v>25</v>
      </c>
      <c r="J27" s="44">
        <f t="shared" si="4"/>
        <v>0.012</v>
      </c>
      <c r="K27" s="1">
        <f t="shared" si="5"/>
        <v>110964.30214136124</v>
      </c>
      <c r="L27" s="1">
        <f t="shared" si="0"/>
        <v>9006.842706279322</v>
      </c>
      <c r="M27" s="1">
        <f t="shared" si="6"/>
        <v>12000</v>
      </c>
      <c r="N27" s="24">
        <f t="shared" si="1"/>
        <v>6.041790087372169</v>
      </c>
      <c r="O27" s="60">
        <f t="shared" si="7"/>
        <v>15.70865422716764</v>
      </c>
      <c r="P27" s="1">
        <f t="shared" si="8"/>
        <v>2660.1767015706805</v>
      </c>
      <c r="Q27" s="1">
        <f t="shared" si="9"/>
        <v>5855.265439790576</v>
      </c>
      <c r="R27" s="1">
        <f t="shared" si="2"/>
        <v>5065.5</v>
      </c>
      <c r="S27" s="1">
        <f t="shared" si="3"/>
        <v>97383.35999999999</v>
      </c>
      <c r="T27" s="1">
        <f t="shared" si="10"/>
        <v>0</v>
      </c>
      <c r="V27" s="205" t="s">
        <v>60</v>
      </c>
      <c r="W27" s="200"/>
      <c r="X27" s="4">
        <v>0.045</v>
      </c>
      <c r="Y27" s="4">
        <v>0.0005</v>
      </c>
      <c r="Z27" s="4">
        <v>140</v>
      </c>
      <c r="AA27" s="36">
        <v>71000</v>
      </c>
      <c r="AB27" s="36">
        <v>286000</v>
      </c>
      <c r="AC27" s="4">
        <v>4</v>
      </c>
    </row>
    <row r="28" spans="4:29" ht="12.75">
      <c r="D28">
        <v>9</v>
      </c>
      <c r="E28">
        <v>8</v>
      </c>
      <c r="F28" s="2">
        <v>0.012</v>
      </c>
      <c r="G28">
        <v>0.3</v>
      </c>
      <c r="H28">
        <v>25</v>
      </c>
      <c r="I28" s="64">
        <f t="shared" si="11"/>
        <v>25</v>
      </c>
      <c r="J28" s="44">
        <f t="shared" si="4"/>
        <v>0.012</v>
      </c>
      <c r="K28" s="1">
        <f t="shared" si="5"/>
        <v>112262.74694136124</v>
      </c>
      <c r="L28" s="1">
        <f t="shared" si="0"/>
        <v>9112.235953032568</v>
      </c>
      <c r="M28" s="1">
        <f t="shared" si="6"/>
        <v>12000</v>
      </c>
      <c r="N28" s="24">
        <f t="shared" si="1"/>
        <v>6.112487877294247</v>
      </c>
      <c r="O28" s="60">
        <f t="shared" si="7"/>
        <v>15.892468480965043</v>
      </c>
      <c r="P28" s="1">
        <f t="shared" si="8"/>
        <v>2660.1767015706805</v>
      </c>
      <c r="Q28" s="1">
        <f t="shared" si="9"/>
        <v>5855.265439790576</v>
      </c>
      <c r="R28" s="1">
        <f t="shared" si="2"/>
        <v>5065.5</v>
      </c>
      <c r="S28" s="1">
        <f t="shared" si="3"/>
        <v>97383.35999999999</v>
      </c>
      <c r="T28" s="1">
        <f t="shared" si="10"/>
        <v>1298.4448</v>
      </c>
      <c r="V28" s="205" t="s">
        <v>37</v>
      </c>
      <c r="W28" s="200"/>
      <c r="X28" s="4">
        <v>0.045</v>
      </c>
      <c r="Y28" s="4">
        <v>0.0005</v>
      </c>
      <c r="Z28" s="4">
        <v>170</v>
      </c>
      <c r="AA28" s="36">
        <v>50000</v>
      </c>
      <c r="AB28" s="36">
        <v>180000</v>
      </c>
      <c r="AC28" s="4">
        <v>4</v>
      </c>
    </row>
    <row r="29" spans="5:29" ht="12.75">
      <c r="E29">
        <v>0</v>
      </c>
      <c r="F29" s="2">
        <v>0.012</v>
      </c>
      <c r="G29">
        <v>0.3</v>
      </c>
      <c r="H29">
        <v>25</v>
      </c>
      <c r="I29" s="64">
        <f t="shared" si="11"/>
        <v>25</v>
      </c>
      <c r="J29" s="44">
        <f t="shared" si="4"/>
        <v>0.012</v>
      </c>
      <c r="K29" s="1">
        <f t="shared" si="5"/>
        <v>110964.30214136124</v>
      </c>
      <c r="L29" s="1">
        <f t="shared" si="0"/>
        <v>9006.842706279322</v>
      </c>
      <c r="M29" s="1">
        <f t="shared" si="6"/>
        <v>12000</v>
      </c>
      <c r="N29" s="24">
        <f t="shared" si="1"/>
        <v>6.041790087372169</v>
      </c>
      <c r="O29" s="60">
        <f t="shared" si="7"/>
        <v>15.70865422716764</v>
      </c>
      <c r="P29" s="1">
        <f t="shared" si="8"/>
        <v>2660.1767015706805</v>
      </c>
      <c r="Q29" s="1">
        <f t="shared" si="9"/>
        <v>5855.265439790576</v>
      </c>
      <c r="R29" s="1">
        <f t="shared" si="2"/>
        <v>5065.5</v>
      </c>
      <c r="S29" s="1">
        <f t="shared" si="3"/>
        <v>97383.35999999999</v>
      </c>
      <c r="T29" s="1">
        <f t="shared" si="10"/>
        <v>0</v>
      </c>
      <c r="V29" s="3" t="s">
        <v>20</v>
      </c>
      <c r="W29" s="3"/>
      <c r="X29" s="4">
        <v>0.045</v>
      </c>
      <c r="Y29" s="4">
        <v>0.0003</v>
      </c>
      <c r="Z29" s="4">
        <v>120</v>
      </c>
      <c r="AA29" s="36">
        <v>50000</v>
      </c>
      <c r="AB29" s="36">
        <v>60000</v>
      </c>
      <c r="AC29" s="4">
        <v>4</v>
      </c>
    </row>
    <row r="30" spans="5:29" ht="12.75">
      <c r="E30">
        <v>3</v>
      </c>
      <c r="F30" s="2">
        <v>0.012</v>
      </c>
      <c r="G30">
        <v>0.3</v>
      </c>
      <c r="H30">
        <v>25</v>
      </c>
      <c r="I30" s="64">
        <f t="shared" si="11"/>
        <v>25</v>
      </c>
      <c r="J30" s="44">
        <f t="shared" si="4"/>
        <v>0.012</v>
      </c>
      <c r="K30" s="1">
        <f t="shared" si="5"/>
        <v>111451.21894136125</v>
      </c>
      <c r="L30" s="1">
        <f t="shared" si="0"/>
        <v>9046.36517381179</v>
      </c>
      <c r="M30" s="1">
        <f t="shared" si="6"/>
        <v>12000</v>
      </c>
      <c r="N30" s="24">
        <f t="shared" si="1"/>
        <v>6.068301758592948</v>
      </c>
      <c r="O30" s="60">
        <f t="shared" si="7"/>
        <v>15.777584572341667</v>
      </c>
      <c r="P30" s="1">
        <f t="shared" si="8"/>
        <v>2660.1767015706805</v>
      </c>
      <c r="Q30" s="1">
        <f t="shared" si="9"/>
        <v>5855.265439790576</v>
      </c>
      <c r="R30" s="1">
        <f t="shared" si="2"/>
        <v>5065.5</v>
      </c>
      <c r="S30" s="1">
        <f t="shared" si="3"/>
        <v>97383.35999999999</v>
      </c>
      <c r="T30" s="1">
        <f t="shared" si="10"/>
        <v>486.9168000000001</v>
      </c>
      <c r="V30" s="206" t="s">
        <v>10</v>
      </c>
      <c r="W30" s="204"/>
      <c r="X30" s="4">
        <v>0.045</v>
      </c>
      <c r="Y30" s="4">
        <v>0.0007</v>
      </c>
      <c r="Z30" s="4">
        <v>80</v>
      </c>
      <c r="AA30" s="36">
        <v>35000</v>
      </c>
      <c r="AB30" s="36">
        <v>80000</v>
      </c>
      <c r="AC30" s="4">
        <v>4</v>
      </c>
    </row>
    <row r="31" spans="4:29" ht="12.75">
      <c r="D31">
        <v>10</v>
      </c>
      <c r="E31">
        <v>0</v>
      </c>
      <c r="F31" s="2">
        <v>0.012</v>
      </c>
      <c r="G31">
        <v>0.3</v>
      </c>
      <c r="H31">
        <v>25</v>
      </c>
      <c r="I31" s="64">
        <f t="shared" si="11"/>
        <v>25</v>
      </c>
      <c r="J31" s="44">
        <f t="shared" si="4"/>
        <v>0.012</v>
      </c>
      <c r="K31" s="1">
        <f t="shared" si="5"/>
        <v>110964.30214136124</v>
      </c>
      <c r="L31" s="1">
        <f t="shared" si="0"/>
        <v>9006.842706279322</v>
      </c>
      <c r="M31" s="1">
        <f t="shared" si="6"/>
        <v>12000</v>
      </c>
      <c r="N31" s="24">
        <f t="shared" si="1"/>
        <v>6.041790087372169</v>
      </c>
      <c r="O31" s="60">
        <f t="shared" si="7"/>
        <v>15.70865422716764</v>
      </c>
      <c r="P31" s="1">
        <f t="shared" si="8"/>
        <v>2660.1767015706805</v>
      </c>
      <c r="Q31" s="1">
        <f t="shared" si="9"/>
        <v>5855.265439790576</v>
      </c>
      <c r="R31" s="1">
        <f t="shared" si="2"/>
        <v>5065.5</v>
      </c>
      <c r="S31" s="1">
        <f t="shared" si="3"/>
        <v>97383.35999999999</v>
      </c>
      <c r="T31" s="1">
        <f t="shared" si="10"/>
        <v>0</v>
      </c>
      <c r="V31" s="206" t="s">
        <v>11</v>
      </c>
      <c r="W31" s="204"/>
      <c r="X31" s="4">
        <v>0.045</v>
      </c>
      <c r="Y31" s="4">
        <v>0.0011</v>
      </c>
      <c r="Z31" s="4">
        <v>90</v>
      </c>
      <c r="AA31" s="36">
        <v>35000</v>
      </c>
      <c r="AB31" s="36">
        <v>70000</v>
      </c>
      <c r="AC31" s="4">
        <v>4</v>
      </c>
    </row>
    <row r="32" spans="5:28" ht="12.75">
      <c r="E32">
        <v>2</v>
      </c>
      <c r="F32" s="2">
        <v>0.012</v>
      </c>
      <c r="G32">
        <v>0.3</v>
      </c>
      <c r="H32">
        <v>25</v>
      </c>
      <c r="I32" s="64">
        <f t="shared" si="11"/>
        <v>25.000000000000004</v>
      </c>
      <c r="J32" s="44">
        <f t="shared" si="4"/>
        <v>0.011999999999999999</v>
      </c>
      <c r="K32" s="1">
        <f t="shared" si="5"/>
        <v>111288.91334136124</v>
      </c>
      <c r="L32" s="1">
        <f t="shared" si="0"/>
        <v>9033.191017967634</v>
      </c>
      <c r="M32" s="1">
        <f t="shared" si="6"/>
        <v>12000</v>
      </c>
      <c r="N32" s="24">
        <f t="shared" si="1"/>
        <v>6.0594645348526885</v>
      </c>
      <c r="O32" s="60">
        <f t="shared" si="7"/>
        <v>15.75460779061699</v>
      </c>
      <c r="P32" s="1">
        <f t="shared" si="8"/>
        <v>2660.1767015706805</v>
      </c>
      <c r="Q32" s="1">
        <f t="shared" si="9"/>
        <v>5855.265439790576</v>
      </c>
      <c r="R32" s="1">
        <f t="shared" si="2"/>
        <v>5065.5</v>
      </c>
      <c r="S32" s="1">
        <f t="shared" si="3"/>
        <v>97383.35999999999</v>
      </c>
      <c r="T32" s="1">
        <f t="shared" si="10"/>
        <v>324.6112</v>
      </c>
      <c r="AA32" s="1"/>
      <c r="AB32" s="1"/>
    </row>
    <row r="33" spans="5:30" ht="12.75">
      <c r="E33">
        <v>0</v>
      </c>
      <c r="F33" s="2">
        <v>0.012</v>
      </c>
      <c r="G33">
        <v>0.3</v>
      </c>
      <c r="H33">
        <v>25</v>
      </c>
      <c r="I33" s="64">
        <f t="shared" si="11"/>
        <v>25</v>
      </c>
      <c r="J33" s="44">
        <f t="shared" si="4"/>
        <v>0.012</v>
      </c>
      <c r="K33" s="1">
        <f t="shared" si="5"/>
        <v>110964.30214136124</v>
      </c>
      <c r="L33" s="1">
        <f t="shared" si="0"/>
        <v>9006.842706279322</v>
      </c>
      <c r="M33" s="1">
        <f t="shared" si="6"/>
        <v>12000</v>
      </c>
      <c r="N33" s="24">
        <f t="shared" si="1"/>
        <v>6.041790087372169</v>
      </c>
      <c r="O33" s="60">
        <f t="shared" si="7"/>
        <v>15.70865422716764</v>
      </c>
      <c r="P33" s="1">
        <f t="shared" si="8"/>
        <v>2660.1767015706805</v>
      </c>
      <c r="Q33" s="1">
        <f t="shared" si="9"/>
        <v>5855.265439790576</v>
      </c>
      <c r="R33" s="1">
        <f t="shared" si="2"/>
        <v>5065.5</v>
      </c>
      <c r="S33" s="1">
        <f t="shared" si="3"/>
        <v>97383.35999999999</v>
      </c>
      <c r="T33" s="1">
        <f t="shared" si="10"/>
        <v>0</v>
      </c>
      <c r="V33" s="3" t="s">
        <v>50</v>
      </c>
      <c r="W33" s="3" t="s">
        <v>48</v>
      </c>
      <c r="X33" s="3" t="s">
        <v>49</v>
      </c>
      <c r="Y33" s="3" t="s">
        <v>51</v>
      </c>
      <c r="Z33" s="33" t="s">
        <v>52</v>
      </c>
      <c r="AA33" s="3" t="s">
        <v>53</v>
      </c>
      <c r="AB33" s="3" t="s">
        <v>54</v>
      </c>
      <c r="AC33" s="3" t="s">
        <v>13</v>
      </c>
      <c r="AD33" s="3" t="s">
        <v>0</v>
      </c>
    </row>
    <row r="34" spans="4:30" ht="12.75">
      <c r="D34">
        <v>11</v>
      </c>
      <c r="E34">
        <v>8</v>
      </c>
      <c r="F34" s="2">
        <v>0.014</v>
      </c>
      <c r="G34">
        <v>0.3</v>
      </c>
      <c r="H34">
        <v>25</v>
      </c>
      <c r="I34" s="64">
        <f t="shared" si="11"/>
        <v>25</v>
      </c>
      <c r="J34" s="44">
        <f t="shared" si="4"/>
        <v>0.012</v>
      </c>
      <c r="K34" s="1">
        <f t="shared" si="5"/>
        <v>128493.30694136127</v>
      </c>
      <c r="L34" s="1">
        <f t="shared" si="0"/>
        <v>10429.651537448155</v>
      </c>
      <c r="M34" s="1">
        <f t="shared" si="6"/>
        <v>12000</v>
      </c>
      <c r="N34" s="24">
        <f t="shared" si="1"/>
        <v>6.996210251320223</v>
      </c>
      <c r="O34" s="60">
        <f t="shared" si="7"/>
        <v>18.19014665343258</v>
      </c>
      <c r="P34" s="1">
        <f t="shared" si="8"/>
        <v>2660.1767015706805</v>
      </c>
      <c r="Q34" s="1">
        <f t="shared" si="9"/>
        <v>5855.265439790576</v>
      </c>
      <c r="R34" s="1">
        <f t="shared" si="2"/>
        <v>5065.5</v>
      </c>
      <c r="S34" s="1">
        <f t="shared" si="3"/>
        <v>113613.92000000001</v>
      </c>
      <c r="T34" s="1">
        <f t="shared" si="10"/>
        <v>1298.4448</v>
      </c>
      <c r="V34" s="3" t="s">
        <v>39</v>
      </c>
      <c r="W34" s="4">
        <v>115</v>
      </c>
      <c r="X34" s="4">
        <v>3.5</v>
      </c>
      <c r="Y34" s="4">
        <v>1750</v>
      </c>
      <c r="Z34" s="4">
        <v>120</v>
      </c>
      <c r="AA34" s="4">
        <v>0.03</v>
      </c>
      <c r="AB34" s="4">
        <v>0.0025</v>
      </c>
      <c r="AC34" s="4">
        <v>4</v>
      </c>
      <c r="AD34" s="4">
        <v>140</v>
      </c>
    </row>
    <row r="35" spans="5:30" ht="12.75">
      <c r="E35">
        <v>0</v>
      </c>
      <c r="F35" s="2">
        <v>0.014</v>
      </c>
      <c r="G35">
        <v>0.3</v>
      </c>
      <c r="H35">
        <v>25</v>
      </c>
      <c r="I35" s="64">
        <f t="shared" si="11"/>
        <v>25</v>
      </c>
      <c r="J35" s="44">
        <f t="shared" si="4"/>
        <v>0.012</v>
      </c>
      <c r="K35" s="1">
        <f t="shared" si="5"/>
        <v>127194.86214136127</v>
      </c>
      <c r="L35" s="1">
        <f t="shared" si="0"/>
        <v>10324.258290694908</v>
      </c>
      <c r="M35" s="1">
        <f t="shared" si="6"/>
        <v>12000</v>
      </c>
      <c r="N35" s="24">
        <f t="shared" si="1"/>
        <v>6.925512461398145</v>
      </c>
      <c r="O35" s="60">
        <f t="shared" si="7"/>
        <v>18.006332399635177</v>
      </c>
      <c r="P35" s="1">
        <f t="shared" si="8"/>
        <v>2660.1767015706805</v>
      </c>
      <c r="Q35" s="1">
        <f t="shared" si="9"/>
        <v>5855.265439790576</v>
      </c>
      <c r="R35" s="1">
        <f t="shared" si="2"/>
        <v>5065.5</v>
      </c>
      <c r="S35" s="1">
        <f t="shared" si="3"/>
        <v>113613.92000000001</v>
      </c>
      <c r="T35" s="1">
        <f t="shared" si="10"/>
        <v>0</v>
      </c>
      <c r="V35" s="3" t="s">
        <v>40</v>
      </c>
      <c r="W35" s="4">
        <v>135</v>
      </c>
      <c r="X35" s="4">
        <v>4.2</v>
      </c>
      <c r="Y35" s="4">
        <v>2300</v>
      </c>
      <c r="Z35" s="4">
        <v>120</v>
      </c>
      <c r="AA35" s="4">
        <v>0.03</v>
      </c>
      <c r="AB35" s="4">
        <v>0.0025</v>
      </c>
      <c r="AC35" s="4">
        <v>4</v>
      </c>
      <c r="AD35" s="4">
        <v>160</v>
      </c>
    </row>
    <row r="36" spans="5:30" ht="12.75">
      <c r="E36">
        <v>6</v>
      </c>
      <c r="F36" s="2">
        <v>0.014</v>
      </c>
      <c r="G36">
        <v>0.3</v>
      </c>
      <c r="H36">
        <v>25</v>
      </c>
      <c r="I36" s="64">
        <f t="shared" si="11"/>
        <v>25</v>
      </c>
      <c r="J36" s="44">
        <f t="shared" si="4"/>
        <v>0.012</v>
      </c>
      <c r="K36" s="1">
        <f t="shared" si="5"/>
        <v>128168.69574136127</v>
      </c>
      <c r="L36" s="1">
        <f t="shared" si="0"/>
        <v>10403.303225759842</v>
      </c>
      <c r="M36" s="1">
        <f t="shared" si="6"/>
        <v>12000</v>
      </c>
      <c r="N36" s="24">
        <f t="shared" si="1"/>
        <v>6.978535803839702</v>
      </c>
      <c r="O36" s="60">
        <f t="shared" si="7"/>
        <v>18.144193089983226</v>
      </c>
      <c r="P36" s="1">
        <f t="shared" si="8"/>
        <v>2660.1767015706805</v>
      </c>
      <c r="Q36" s="1">
        <f t="shared" si="9"/>
        <v>5855.265439790576</v>
      </c>
      <c r="R36" s="1">
        <f t="shared" si="2"/>
        <v>5065.5</v>
      </c>
      <c r="S36" s="1">
        <f t="shared" si="3"/>
        <v>113613.92000000001</v>
      </c>
      <c r="T36" s="1">
        <f t="shared" si="10"/>
        <v>973.8336000000002</v>
      </c>
      <c r="V36" s="3" t="s">
        <v>41</v>
      </c>
      <c r="W36" s="4">
        <v>167.7</v>
      </c>
      <c r="X36" s="4">
        <v>5.5</v>
      </c>
      <c r="Y36" s="4">
        <v>3000</v>
      </c>
      <c r="Z36" s="4">
        <v>120</v>
      </c>
      <c r="AA36" s="4">
        <v>0.03</v>
      </c>
      <c r="AB36" s="4">
        <v>0.0025</v>
      </c>
      <c r="AC36" s="4">
        <v>4</v>
      </c>
      <c r="AD36" s="4">
        <v>180</v>
      </c>
    </row>
    <row r="37" spans="4:30" ht="12.75">
      <c r="D37">
        <v>12</v>
      </c>
      <c r="E37">
        <v>0</v>
      </c>
      <c r="F37" s="2">
        <v>0.015</v>
      </c>
      <c r="G37">
        <v>0.3</v>
      </c>
      <c r="H37">
        <v>25</v>
      </c>
      <c r="I37" s="64">
        <f t="shared" si="11"/>
        <v>25</v>
      </c>
      <c r="J37" s="44">
        <f t="shared" si="4"/>
        <v>0.012</v>
      </c>
      <c r="K37" s="1">
        <f t="shared" si="5"/>
        <v>135310.14214136126</v>
      </c>
      <c r="L37" s="1">
        <f t="shared" si="0"/>
        <v>10982.9660829027</v>
      </c>
      <c r="M37" s="1">
        <f t="shared" si="6"/>
        <v>12000</v>
      </c>
      <c r="N37" s="24">
        <f t="shared" si="1"/>
        <v>7.367373648411131</v>
      </c>
      <c r="O37" s="60">
        <f t="shared" si="7"/>
        <v>19.15517148586894</v>
      </c>
      <c r="P37" s="1">
        <f t="shared" si="8"/>
        <v>2660.1767015706805</v>
      </c>
      <c r="Q37" s="1">
        <f t="shared" si="9"/>
        <v>5855.265439790576</v>
      </c>
      <c r="R37" s="1">
        <f t="shared" si="2"/>
        <v>5065.5</v>
      </c>
      <c r="S37" s="1">
        <f t="shared" si="3"/>
        <v>121729.2</v>
      </c>
      <c r="T37" s="1">
        <f t="shared" si="10"/>
        <v>0</v>
      </c>
      <c r="V37" s="3" t="s">
        <v>42</v>
      </c>
      <c r="W37" s="4">
        <v>167.7</v>
      </c>
      <c r="X37" s="4">
        <v>5.5</v>
      </c>
      <c r="Y37" s="4">
        <v>3000</v>
      </c>
      <c r="Z37" s="4">
        <v>120</v>
      </c>
      <c r="AA37" s="4">
        <v>0.03</v>
      </c>
      <c r="AB37" s="4">
        <v>0.0025</v>
      </c>
      <c r="AC37" s="4">
        <v>6</v>
      </c>
      <c r="AD37" s="4">
        <v>191</v>
      </c>
    </row>
    <row r="38" spans="5:30" ht="12.75">
      <c r="E38">
        <v>5</v>
      </c>
      <c r="F38" s="2">
        <v>0.015</v>
      </c>
      <c r="G38">
        <v>0.3</v>
      </c>
      <c r="H38">
        <v>25</v>
      </c>
      <c r="I38" s="64">
        <f t="shared" si="11"/>
        <v>25</v>
      </c>
      <c r="J38" s="44">
        <f t="shared" si="4"/>
        <v>0.012</v>
      </c>
      <c r="K38" s="1">
        <f t="shared" si="5"/>
        <v>136121.67014136125</v>
      </c>
      <c r="L38" s="1">
        <f t="shared" si="0"/>
        <v>11048.836862123477</v>
      </c>
      <c r="M38" s="1">
        <f t="shared" si="6"/>
        <v>12000</v>
      </c>
      <c r="N38" s="24">
        <f t="shared" si="1"/>
        <v>7.411559767112428</v>
      </c>
      <c r="O38" s="60">
        <f t="shared" si="7"/>
        <v>19.270055394492314</v>
      </c>
      <c r="P38" s="1">
        <f t="shared" si="8"/>
        <v>2660.1767015706805</v>
      </c>
      <c r="Q38" s="1">
        <f t="shared" si="9"/>
        <v>5855.265439790576</v>
      </c>
      <c r="R38" s="1">
        <f t="shared" si="2"/>
        <v>5065.5</v>
      </c>
      <c r="S38" s="1">
        <f t="shared" si="3"/>
        <v>121729.2</v>
      </c>
      <c r="T38" s="1">
        <f t="shared" si="10"/>
        <v>811.528</v>
      </c>
      <c r="V38" s="3" t="s">
        <v>43</v>
      </c>
      <c r="W38" s="4">
        <v>194</v>
      </c>
      <c r="X38" s="4">
        <v>6</v>
      </c>
      <c r="Y38" s="4">
        <v>3600</v>
      </c>
      <c r="Z38" s="4">
        <v>120</v>
      </c>
      <c r="AA38" s="4">
        <v>0.03</v>
      </c>
      <c r="AB38" s="4">
        <v>0.0025</v>
      </c>
      <c r="AC38" s="4">
        <v>6</v>
      </c>
      <c r="AD38" s="4">
        <v>200</v>
      </c>
    </row>
    <row r="39" spans="5:30" ht="12.75">
      <c r="E39">
        <v>0</v>
      </c>
      <c r="F39" s="2">
        <v>0.015</v>
      </c>
      <c r="G39">
        <v>0.3</v>
      </c>
      <c r="H39">
        <v>25</v>
      </c>
      <c r="I39" s="64">
        <f t="shared" si="11"/>
        <v>25</v>
      </c>
      <c r="J39" s="44">
        <f t="shared" si="4"/>
        <v>0.012</v>
      </c>
      <c r="K39" s="1">
        <f t="shared" si="5"/>
        <v>135310.14214136126</v>
      </c>
      <c r="L39" s="1">
        <f aca="true" t="shared" si="12" ref="L39:L55">K39*H39/308</f>
        <v>10982.9660829027</v>
      </c>
      <c r="M39" s="1">
        <f t="shared" si="6"/>
        <v>12000</v>
      </c>
      <c r="N39" s="24">
        <f aca="true" t="shared" si="13" ref="N39:N55">$W$9*G39/H39*VLOOKUP($W$8,$V$34:$Y$42,2,0)*L39/M39</f>
        <v>7.367373648411131</v>
      </c>
      <c r="O39" s="60">
        <f t="shared" si="7"/>
        <v>19.15517148586894</v>
      </c>
      <c r="P39" s="1">
        <f aca="true" t="shared" si="14" ref="P39:P56">$W$9*((VLOOKUP($W$8,$V$34:$AD$42,7,0)*VLOOKUP($W$8,$V$34:$AD$42,5,0)*H39*H39)/(VLOOKUP($W$8,$V$34:$AD$42,9,0)/VLOOKUP($W$8,$V$34:$AD$42,8,0))/VLOOKUP($W$8,$V$34:$AD$42,8,0))+((VLOOKUP($W$10,$V$25:$AC$31,4,0)*VLOOKUP($W$10,$V$25:$AC$31,5,0)*H39*H39)/(((VLOOKUP($W$10,$V$25:$AC$31,7,0)/2000))/((VLOOKUP($W$10,$V$25:$AC$31,8,0))))/VLOOKUP($W$10,$V$25:$AC$31,8,0))*$Z$6</f>
        <v>2660.1767015706805</v>
      </c>
      <c r="Q39" s="1">
        <f aca="true" t="shared" si="15" ref="Q39:Q70">$W$9*(1.3+0.29/((VLOOKUP($W$8,$V$34:$AD$42,9,0))/VLOOKUP($W$8,$V$34:$AD$42,8,0)))+(1.3+0.29/((VLOOKUP($W$10,$V$25:$AC$31,7,0))/VLOOKUP($W$10,$V$25:$AC$31,8,0)))*$Z$6</f>
        <v>5855.265439790576</v>
      </c>
      <c r="R39" s="1">
        <f aca="true" t="shared" si="16" ref="R39:R56">$W$9*(VLOOKUP($W$8,$V$34:$AD$42,6,0)*H39)+(VLOOKUP($W$10,$V$25:$AC$31,3,0)*H39)*$Z$6</f>
        <v>5065.5</v>
      </c>
      <c r="S39" s="1">
        <f aca="true" t="shared" si="17" ref="S39:S56">$W$9*(20*F39*(VLOOKUP($W$8,$V$34:$AD$42,9,0)))+(20*F39*(VLOOKUP($W$10,$V$24:$AC$31,7,0)/2000))*$Z$6</f>
        <v>121729.2</v>
      </c>
      <c r="T39" s="1">
        <f aca="true" t="shared" si="18" ref="T39:T56">$W$9*(0.8*E39*(VLOOKUP($W$8,$V$34:$AD$42,9,0))/2000)+(0.8*E39*((VLOOKUP($W$10,$V$25:$AC$31,7,0))/2000/2000))*$Z$6</f>
        <v>0</v>
      </c>
      <c r="V39" s="3" t="s">
        <v>44</v>
      </c>
      <c r="W39" s="4">
        <v>194</v>
      </c>
      <c r="X39" s="4">
        <v>6</v>
      </c>
      <c r="Y39" s="4">
        <v>3600</v>
      </c>
      <c r="Z39" s="4">
        <v>120</v>
      </c>
      <c r="AA39" s="4">
        <v>0.03</v>
      </c>
      <c r="AB39" s="4">
        <v>0.0025</v>
      </c>
      <c r="AC39" s="4">
        <v>6</v>
      </c>
      <c r="AD39" s="4">
        <v>200</v>
      </c>
    </row>
    <row r="40" spans="4:30" ht="12.75">
      <c r="D40">
        <v>13</v>
      </c>
      <c r="E40">
        <v>0</v>
      </c>
      <c r="F40" s="2">
        <v>0.015</v>
      </c>
      <c r="G40">
        <v>0.3</v>
      </c>
      <c r="H40">
        <v>25</v>
      </c>
      <c r="I40" s="64">
        <f t="shared" si="11"/>
        <v>25</v>
      </c>
      <c r="J40" s="44">
        <f t="shared" si="4"/>
        <v>0.012</v>
      </c>
      <c r="K40" s="1">
        <f aca="true" t="shared" si="19" ref="K40:K55">SUM(P40:T40)</f>
        <v>135310.14214136126</v>
      </c>
      <c r="L40" s="1">
        <f t="shared" si="12"/>
        <v>10982.9660829027</v>
      </c>
      <c r="M40" s="1">
        <f t="shared" si="6"/>
        <v>12000</v>
      </c>
      <c r="N40" s="24">
        <f t="shared" si="13"/>
        <v>7.367373648411131</v>
      </c>
      <c r="O40" s="60">
        <f t="shared" si="7"/>
        <v>19.15517148586894</v>
      </c>
      <c r="P40" s="1">
        <f t="shared" si="14"/>
        <v>2660.1767015706805</v>
      </c>
      <c r="Q40" s="1">
        <f t="shared" si="15"/>
        <v>5855.265439790576</v>
      </c>
      <c r="R40" s="1">
        <f t="shared" si="16"/>
        <v>5065.5</v>
      </c>
      <c r="S40" s="1">
        <f t="shared" si="17"/>
        <v>121729.2</v>
      </c>
      <c r="T40" s="1">
        <f t="shared" si="18"/>
        <v>0</v>
      </c>
      <c r="V40" s="3" t="s">
        <v>45</v>
      </c>
      <c r="W40" s="4">
        <v>193.8</v>
      </c>
      <c r="X40" s="4">
        <v>6.3</v>
      </c>
      <c r="Y40" s="4">
        <v>3800</v>
      </c>
      <c r="Z40" s="4">
        <v>120</v>
      </c>
      <c r="AA40" s="4">
        <v>0.03</v>
      </c>
      <c r="AB40" s="4">
        <v>0.0025</v>
      </c>
      <c r="AC40" s="4">
        <v>6</v>
      </c>
      <c r="AD40" s="4">
        <v>220</v>
      </c>
    </row>
    <row r="41" spans="5:30" ht="12.75">
      <c r="E41">
        <v>5</v>
      </c>
      <c r="F41" s="2">
        <v>0.016</v>
      </c>
      <c r="G41">
        <v>0.3</v>
      </c>
      <c r="H41">
        <v>25</v>
      </c>
      <c r="I41" s="64">
        <f t="shared" si="11"/>
        <v>25</v>
      </c>
      <c r="J41" s="44">
        <f t="shared" si="4"/>
        <v>0.012</v>
      </c>
      <c r="K41" s="1">
        <f t="shared" si="19"/>
        <v>144236.95014136125</v>
      </c>
      <c r="L41" s="1">
        <f t="shared" si="12"/>
        <v>11707.54465433127</v>
      </c>
      <c r="M41" s="1">
        <f t="shared" si="6"/>
        <v>12000</v>
      </c>
      <c r="N41" s="24">
        <f t="shared" si="13"/>
        <v>7.853420954125416</v>
      </c>
      <c r="O41" s="60">
        <f t="shared" si="7"/>
        <v>20.41889448072608</v>
      </c>
      <c r="P41" s="1">
        <f t="shared" si="14"/>
        <v>2660.1767015706805</v>
      </c>
      <c r="Q41" s="1">
        <f t="shared" si="15"/>
        <v>5855.265439790576</v>
      </c>
      <c r="R41" s="1">
        <f t="shared" si="16"/>
        <v>5065.5</v>
      </c>
      <c r="S41" s="1">
        <f t="shared" si="17"/>
        <v>129844.48</v>
      </c>
      <c r="T41" s="1">
        <f t="shared" si="18"/>
        <v>811.528</v>
      </c>
      <c r="V41" s="3" t="s">
        <v>46</v>
      </c>
      <c r="W41" s="4">
        <v>204</v>
      </c>
      <c r="X41" s="4">
        <v>6.5</v>
      </c>
      <c r="Y41" s="4">
        <v>4000</v>
      </c>
      <c r="Z41" s="4">
        <v>120</v>
      </c>
      <c r="AA41" s="4">
        <v>0.03</v>
      </c>
      <c r="AB41" s="4">
        <v>0.0025</v>
      </c>
      <c r="AC41" s="4">
        <v>6</v>
      </c>
      <c r="AD41" s="4">
        <v>230</v>
      </c>
    </row>
    <row r="42" spans="5:30" ht="12.75">
      <c r="E42">
        <v>4</v>
      </c>
      <c r="F42" s="2">
        <v>0.016</v>
      </c>
      <c r="G42">
        <v>0.4</v>
      </c>
      <c r="H42">
        <v>25</v>
      </c>
      <c r="I42" s="64">
        <f t="shared" si="11"/>
        <v>25</v>
      </c>
      <c r="J42" s="44">
        <f t="shared" si="4"/>
        <v>0.016</v>
      </c>
      <c r="K42" s="1">
        <f t="shared" si="19"/>
        <v>144074.64454136125</v>
      </c>
      <c r="L42" s="1">
        <f t="shared" si="12"/>
        <v>11694.370498487115</v>
      </c>
      <c r="M42" s="1">
        <f t="shared" si="6"/>
        <v>12000</v>
      </c>
      <c r="N42" s="24">
        <f t="shared" si="13"/>
        <v>10.459444973846875</v>
      </c>
      <c r="O42" s="60">
        <f t="shared" si="7"/>
        <v>27.194556932001873</v>
      </c>
      <c r="P42" s="1">
        <f t="shared" si="14"/>
        <v>2660.1767015706805</v>
      </c>
      <c r="Q42" s="1">
        <f t="shared" si="15"/>
        <v>5855.265439790576</v>
      </c>
      <c r="R42" s="1">
        <f t="shared" si="16"/>
        <v>5065.5</v>
      </c>
      <c r="S42" s="1">
        <f t="shared" si="17"/>
        <v>129844.48</v>
      </c>
      <c r="T42" s="1">
        <f t="shared" si="18"/>
        <v>649.2224</v>
      </c>
      <c r="V42" s="3" t="s">
        <v>47</v>
      </c>
      <c r="W42" s="4">
        <v>275</v>
      </c>
      <c r="X42" s="4">
        <v>10</v>
      </c>
      <c r="Y42" s="4">
        <v>6000</v>
      </c>
      <c r="Z42" s="4">
        <v>120</v>
      </c>
      <c r="AA42" s="4">
        <v>0.03</v>
      </c>
      <c r="AB42" s="4">
        <v>0.0025</v>
      </c>
      <c r="AC42" s="4">
        <v>6</v>
      </c>
      <c r="AD42" s="4">
        <v>240</v>
      </c>
    </row>
    <row r="43" spans="4:29" ht="12.75">
      <c r="D43">
        <v>16</v>
      </c>
      <c r="E43">
        <v>4</v>
      </c>
      <c r="F43" s="2">
        <v>0.016</v>
      </c>
      <c r="G43">
        <v>0.3</v>
      </c>
      <c r="H43">
        <v>25</v>
      </c>
      <c r="I43" s="64">
        <f t="shared" si="11"/>
        <v>25</v>
      </c>
      <c r="J43" s="44">
        <f t="shared" si="4"/>
        <v>0.012</v>
      </c>
      <c r="K43" s="1">
        <f t="shared" si="19"/>
        <v>144074.64454136125</v>
      </c>
      <c r="L43" s="1">
        <f t="shared" si="12"/>
        <v>11694.370498487115</v>
      </c>
      <c r="M43" s="1">
        <f t="shared" si="6"/>
        <v>12000</v>
      </c>
      <c r="N43" s="24">
        <f t="shared" si="13"/>
        <v>7.844583730385156</v>
      </c>
      <c r="O43" s="60">
        <f t="shared" si="7"/>
        <v>20.395917699001405</v>
      </c>
      <c r="P43" s="1">
        <f t="shared" si="14"/>
        <v>2660.1767015706805</v>
      </c>
      <c r="Q43" s="1">
        <f t="shared" si="15"/>
        <v>5855.265439790576</v>
      </c>
      <c r="R43" s="1">
        <f t="shared" si="16"/>
        <v>5065.5</v>
      </c>
      <c r="S43" s="1">
        <f t="shared" si="17"/>
        <v>129844.48</v>
      </c>
      <c r="T43" s="1">
        <f t="shared" si="18"/>
        <v>649.2224</v>
      </c>
      <c r="W43" t="s">
        <v>82</v>
      </c>
      <c r="AC43" t="s">
        <v>86</v>
      </c>
    </row>
    <row r="44" spans="5:35" ht="12.75">
      <c r="E44">
        <v>0</v>
      </c>
      <c r="F44" s="2">
        <v>0.016</v>
      </c>
      <c r="G44">
        <v>0.2</v>
      </c>
      <c r="H44">
        <v>25</v>
      </c>
      <c r="I44" s="64">
        <f t="shared" si="11"/>
        <v>25</v>
      </c>
      <c r="J44" s="44">
        <f t="shared" si="4"/>
        <v>0.008</v>
      </c>
      <c r="K44" s="1">
        <f t="shared" si="19"/>
        <v>143425.42214136125</v>
      </c>
      <c r="L44" s="1">
        <f t="shared" si="12"/>
        <v>11641.673875110491</v>
      </c>
      <c r="M44" s="1">
        <f t="shared" si="6"/>
        <v>12000</v>
      </c>
      <c r="N44" s="24">
        <f t="shared" si="13"/>
        <v>5.206156556949411</v>
      </c>
      <c r="O44" s="60">
        <f t="shared" si="7"/>
        <v>13.53600704806847</v>
      </c>
      <c r="P44" s="1">
        <f t="shared" si="14"/>
        <v>2660.1767015706805</v>
      </c>
      <c r="Q44" s="1">
        <f t="shared" si="15"/>
        <v>5855.265439790576</v>
      </c>
      <c r="R44" s="1">
        <f t="shared" si="16"/>
        <v>5065.5</v>
      </c>
      <c r="S44" s="1">
        <f t="shared" si="17"/>
        <v>129844.48</v>
      </c>
      <c r="T44" s="1">
        <f t="shared" si="18"/>
        <v>0</v>
      </c>
      <c r="V44" s="55" t="s">
        <v>34</v>
      </c>
      <c r="W44" t="s">
        <v>83</v>
      </c>
      <c r="X44" t="s">
        <v>84</v>
      </c>
      <c r="Y44" t="s">
        <v>85</v>
      </c>
      <c r="Z44" t="s">
        <v>29</v>
      </c>
      <c r="AA44" t="s">
        <v>56</v>
      </c>
      <c r="AB44" t="s">
        <v>95</v>
      </c>
      <c r="AC44" t="s">
        <v>87</v>
      </c>
      <c r="AD44" t="s">
        <v>84</v>
      </c>
      <c r="AE44" t="s">
        <v>85</v>
      </c>
      <c r="AF44" t="s">
        <v>29</v>
      </c>
      <c r="AG44" t="s">
        <v>56</v>
      </c>
      <c r="AH44" t="s">
        <v>15</v>
      </c>
      <c r="AI44" t="s">
        <v>51</v>
      </c>
    </row>
    <row r="45" spans="5:35" ht="12.75">
      <c r="E45">
        <v>7</v>
      </c>
      <c r="F45" s="2">
        <v>0.016</v>
      </c>
      <c r="G45">
        <v>0.5</v>
      </c>
      <c r="H45">
        <v>25</v>
      </c>
      <c r="I45" s="64">
        <f t="shared" si="11"/>
        <v>25</v>
      </c>
      <c r="J45" s="44">
        <f t="shared" si="4"/>
        <v>0.02</v>
      </c>
      <c r="K45" s="1">
        <f t="shared" si="19"/>
        <v>144561.56134136126</v>
      </c>
      <c r="L45" s="1">
        <f t="shared" si="12"/>
        <v>11733.892966019583</v>
      </c>
      <c r="M45" s="1">
        <f t="shared" si="6"/>
        <v>12000</v>
      </c>
      <c r="N45" s="24">
        <f t="shared" si="13"/>
        <v>13.118492336009892</v>
      </c>
      <c r="O45" s="60">
        <f t="shared" si="7"/>
        <v>34.10808007362572</v>
      </c>
      <c r="P45" s="1">
        <f t="shared" si="14"/>
        <v>2660.1767015706805</v>
      </c>
      <c r="Q45" s="1">
        <f t="shared" si="15"/>
        <v>5855.265439790576</v>
      </c>
      <c r="R45" s="1">
        <f t="shared" si="16"/>
        <v>5065.5</v>
      </c>
      <c r="S45" s="1">
        <f t="shared" si="17"/>
        <v>129844.48</v>
      </c>
      <c r="T45" s="1">
        <f t="shared" si="18"/>
        <v>1136.1392</v>
      </c>
      <c r="V45">
        <v>4</v>
      </c>
      <c r="W45" s="52">
        <f aca="true" t="shared" si="20" ref="W45:W71">$W$9*((VLOOKUP($W$8,$V$34:$AD$42,7,0)*VLOOKUP($W$8,$V$34:$AD$42,5,0)*V45*V45)/(VLOOKUP($W$8,$V$34:$AD$42,9,0)/VLOOKUP($W$8,$V$34:$AD$42,8,0))/VLOOKUP($W$8,$V$34:$AD$42,8,0))+((VLOOKUP($W$10,$V$25:$AC$31,4,0)*VLOOKUP($W$10,$V$25:$AC$31,5,0)*V45*V45)/(((VLOOKUP($W$10,$V$25:$AC$31,7,0)/2000))/((VLOOKUP($W$10,$V$25:$AC$31,8,0))))/VLOOKUP($W$10,$V$25:$AC$31,8,0))*$Z$6</f>
        <v>68.10052356020942</v>
      </c>
      <c r="X45" s="52">
        <f aca="true" t="shared" si="21" ref="X45:X71">$W$9*(1.3+0.29/((VLOOKUP($W$8,$V$34:$AD$42,9,0))/VLOOKUP($W$8,$V$34:$AD$42,8,0)))+(1.3+0.29/((VLOOKUP($W$10,$V$25:$AC$31,7,0))/VLOOKUP($W$10,$V$25:$AC$31,8,0)))*$Z$6</f>
        <v>5855.265439790576</v>
      </c>
      <c r="Y45" s="52">
        <f aca="true" t="shared" si="22" ref="Y45:Y71">$W$9*(VLOOKUP($W$8,$V$34:$AD$42,6,0)*V45)+(VLOOKUP($W$10,$V$25:$AC$31,3,0)*V45)*$Z$6</f>
        <v>810.48</v>
      </c>
      <c r="Z45" s="3">
        <f aca="true" t="shared" si="23" ref="Z45:Z71">$W$9*(20*$W$6*(VLOOKUP($W$8,$V$34:$AD$42,9,0)))+(20*$W$6*(VLOOKUP($W$10,$V$24:$AC$31,7,0)/2000))*$Z$6</f>
        <v>178536.15999999997</v>
      </c>
      <c r="AA45" s="5">
        <f aca="true" t="shared" si="24" ref="AA45:AA71">$W$9*(0.8*$W$5*(VLOOKUP($W$8,$V$34:$AD$42,9,0))/2000)+(0.8*$W$5*((VLOOKUP($W$10,$V$25:$AC$31,7,0))/2000/2000))*$Z$6</f>
        <v>1623.056</v>
      </c>
      <c r="AB45" s="24">
        <f>SUM(W45:AA45)</f>
        <v>186893.06196335077</v>
      </c>
      <c r="AC45" s="53">
        <f>W45/AB45</f>
        <v>0.0003643822988654536</v>
      </c>
      <c r="AD45" s="53">
        <f>X45/AB45</f>
        <v>0.03132949601381552</v>
      </c>
      <c r="AE45" s="53">
        <f>Y45/AB45</f>
        <v>0.004336597578774396</v>
      </c>
      <c r="AF45" s="53">
        <f>Z45/AB45</f>
        <v>0.9552851139814406</v>
      </c>
      <c r="AG45" s="53">
        <f>AA45/AB45</f>
        <v>0.008684410127104006</v>
      </c>
      <c r="AH45">
        <f aca="true" t="shared" si="25" ref="AH45:AH71">(375*$W$9*(VLOOKUP($W$8,$V$35:$AD$43,4,0))*0.83)/V45</f>
        <v>933750</v>
      </c>
      <c r="AI45" s="1">
        <f aca="true" t="shared" si="26" ref="AI45:AI71">AB45*V45/308</f>
        <v>2427.182622900659</v>
      </c>
    </row>
    <row r="46" spans="4:35" ht="12.75">
      <c r="D46">
        <v>17</v>
      </c>
      <c r="E46">
        <v>0</v>
      </c>
      <c r="F46" s="2">
        <v>0.017</v>
      </c>
      <c r="G46">
        <v>0.3</v>
      </c>
      <c r="H46">
        <v>25</v>
      </c>
      <c r="I46" s="64">
        <f t="shared" si="11"/>
        <v>24.389487099988962</v>
      </c>
      <c r="J46" s="44">
        <f t="shared" si="4"/>
        <v>0.012300381667318283</v>
      </c>
      <c r="K46" s="1">
        <f t="shared" si="19"/>
        <v>151540.70214136125</v>
      </c>
      <c r="L46" s="1">
        <f t="shared" si="12"/>
        <v>12300.381667318285</v>
      </c>
      <c r="M46" s="1">
        <f t="shared" si="6"/>
        <v>12000</v>
      </c>
      <c r="N46" s="24">
        <f t="shared" si="13"/>
        <v>8.251096022437105</v>
      </c>
      <c r="O46" s="60">
        <f t="shared" si="7"/>
        <v>21.452849658336476</v>
      </c>
      <c r="P46" s="1">
        <f t="shared" si="14"/>
        <v>2660.1767015706805</v>
      </c>
      <c r="Q46" s="1">
        <f t="shared" si="15"/>
        <v>5855.265439790576</v>
      </c>
      <c r="R46" s="1">
        <f t="shared" si="16"/>
        <v>5065.5</v>
      </c>
      <c r="S46" s="1">
        <f t="shared" si="17"/>
        <v>137959.76</v>
      </c>
      <c r="T46" s="1">
        <f t="shared" si="18"/>
        <v>0</v>
      </c>
      <c r="V46">
        <v>5</v>
      </c>
      <c r="W46" s="52">
        <f t="shared" si="20"/>
        <v>106.40706806282722</v>
      </c>
      <c r="X46" s="52">
        <f t="shared" si="21"/>
        <v>5855.265439790576</v>
      </c>
      <c r="Y46" s="52">
        <f t="shared" si="22"/>
        <v>1013.0999999999999</v>
      </c>
      <c r="Z46" s="3">
        <f t="shared" si="23"/>
        <v>178536.15999999997</v>
      </c>
      <c r="AA46" s="5">
        <f t="shared" si="24"/>
        <v>1623.056</v>
      </c>
      <c r="AB46" s="24">
        <f aca="true" t="shared" si="27" ref="AB46:AB71">SUM(W46:AA46)</f>
        <v>187133.98850785338</v>
      </c>
      <c r="AC46" s="53">
        <f aca="true" t="shared" si="28" ref="AC46:AC71">W46/AB46</f>
        <v>0.0005686143330310179</v>
      </c>
      <c r="AD46" s="53">
        <f aca="true" t="shared" si="29" ref="AD46:AD71">X46/AB46</f>
        <v>0.03128916070500389</v>
      </c>
      <c r="AE46" s="53">
        <f aca="true" t="shared" si="30" ref="AE46:AE71">Y46/AB46</f>
        <v>0.005413768006967283</v>
      </c>
      <c r="AF46" s="53">
        <f aca="true" t="shared" si="31" ref="AF46:AF71">Z46/AB46</f>
        <v>0.9540552276130608</v>
      </c>
      <c r="AG46" s="53">
        <f aca="true" t="shared" si="32" ref="AG46:AG71">AA46/AB46</f>
        <v>0.008673229341936919</v>
      </c>
      <c r="AH46" s="1">
        <f t="shared" si="25"/>
        <v>747000</v>
      </c>
      <c r="AI46" s="1">
        <f t="shared" si="26"/>
        <v>3037.8894238287885</v>
      </c>
    </row>
    <row r="47" spans="5:35" ht="12.75">
      <c r="E47">
        <v>5</v>
      </c>
      <c r="F47" s="2">
        <v>0.017</v>
      </c>
      <c r="G47">
        <v>0.2</v>
      </c>
      <c r="H47">
        <v>25</v>
      </c>
      <c r="I47" s="64">
        <f t="shared" si="11"/>
        <v>24.259572679511397</v>
      </c>
      <c r="J47" s="44">
        <f t="shared" si="4"/>
        <v>0.008244168297692709</v>
      </c>
      <c r="K47" s="1">
        <f t="shared" si="19"/>
        <v>152352.23014136124</v>
      </c>
      <c r="L47" s="1">
        <f t="shared" si="12"/>
        <v>12366.252446539062</v>
      </c>
      <c r="M47" s="1">
        <f t="shared" si="6"/>
        <v>12000</v>
      </c>
      <c r="N47" s="24">
        <f t="shared" si="13"/>
        <v>5.530188094092267</v>
      </c>
      <c r="O47" s="60">
        <f t="shared" si="7"/>
        <v>14.378489044639895</v>
      </c>
      <c r="P47" s="1">
        <f t="shared" si="14"/>
        <v>2660.1767015706805</v>
      </c>
      <c r="Q47" s="1">
        <f t="shared" si="15"/>
        <v>5855.265439790576</v>
      </c>
      <c r="R47" s="1">
        <f t="shared" si="16"/>
        <v>5065.5</v>
      </c>
      <c r="S47" s="1">
        <f t="shared" si="17"/>
        <v>137959.76</v>
      </c>
      <c r="T47" s="1">
        <f t="shared" si="18"/>
        <v>811.528</v>
      </c>
      <c r="V47">
        <v>10</v>
      </c>
      <c r="W47" s="52">
        <f t="shared" si="20"/>
        <v>425.6282722513089</v>
      </c>
      <c r="X47" s="52">
        <f t="shared" si="21"/>
        <v>5855.265439790576</v>
      </c>
      <c r="Y47" s="52">
        <f t="shared" si="22"/>
        <v>2026.1999999999998</v>
      </c>
      <c r="Z47" s="3">
        <f t="shared" si="23"/>
        <v>178536.15999999997</v>
      </c>
      <c r="AA47" s="5">
        <f t="shared" si="24"/>
        <v>1623.056</v>
      </c>
      <c r="AB47" s="24">
        <f t="shared" si="27"/>
        <v>188466.30971204187</v>
      </c>
      <c r="AC47" s="53">
        <f t="shared" si="28"/>
        <v>0.002258378555305865</v>
      </c>
      <c r="AD47" s="53">
        <f t="shared" si="29"/>
        <v>0.031067968852029046</v>
      </c>
      <c r="AE47" s="53">
        <f t="shared" si="30"/>
        <v>0.010750993124956051</v>
      </c>
      <c r="AF47" s="53">
        <f t="shared" si="31"/>
        <v>0.9473107436166486</v>
      </c>
      <c r="AG47" s="53">
        <f t="shared" si="32"/>
        <v>0.008611915851060442</v>
      </c>
      <c r="AH47" s="1">
        <f t="shared" si="25"/>
        <v>373500</v>
      </c>
      <c r="AI47" s="1">
        <f t="shared" si="26"/>
        <v>6119.036029611749</v>
      </c>
    </row>
    <row r="48" spans="5:35" ht="12.75">
      <c r="E48">
        <v>0</v>
      </c>
      <c r="F48" s="2">
        <v>0.017</v>
      </c>
      <c r="G48">
        <v>0.2</v>
      </c>
      <c r="H48">
        <v>25</v>
      </c>
      <c r="I48" s="64">
        <f t="shared" si="11"/>
        <v>24.389487099988962</v>
      </c>
      <c r="J48" s="44">
        <f t="shared" si="4"/>
        <v>0.008200254444878857</v>
      </c>
      <c r="K48" s="1">
        <f t="shared" si="19"/>
        <v>151540.70214136125</v>
      </c>
      <c r="L48" s="1">
        <f t="shared" si="12"/>
        <v>12300.381667318285</v>
      </c>
      <c r="M48" s="1">
        <f t="shared" si="6"/>
        <v>12000</v>
      </c>
      <c r="N48" s="24">
        <f t="shared" si="13"/>
        <v>5.500730681624736</v>
      </c>
      <c r="O48" s="60">
        <f t="shared" si="7"/>
        <v>14.301899772224314</v>
      </c>
      <c r="P48" s="1">
        <f t="shared" si="14"/>
        <v>2660.1767015706805</v>
      </c>
      <c r="Q48" s="1">
        <f t="shared" si="15"/>
        <v>5855.265439790576</v>
      </c>
      <c r="R48" s="1">
        <f t="shared" si="16"/>
        <v>5065.5</v>
      </c>
      <c r="S48" s="1">
        <f t="shared" si="17"/>
        <v>137959.76</v>
      </c>
      <c r="T48" s="1">
        <f t="shared" si="18"/>
        <v>0</v>
      </c>
      <c r="V48">
        <v>15</v>
      </c>
      <c r="W48" s="52">
        <f t="shared" si="20"/>
        <v>957.6636125654453</v>
      </c>
      <c r="X48" s="52">
        <f t="shared" si="21"/>
        <v>5855.265439790576</v>
      </c>
      <c r="Y48" s="52">
        <f t="shared" si="22"/>
        <v>3039.2999999999997</v>
      </c>
      <c r="Z48" s="3">
        <f t="shared" si="23"/>
        <v>178536.15999999997</v>
      </c>
      <c r="AA48" s="5">
        <f t="shared" si="24"/>
        <v>1623.056</v>
      </c>
      <c r="AB48" s="24">
        <f t="shared" si="27"/>
        <v>190011.445052356</v>
      </c>
      <c r="AC48" s="53">
        <f t="shared" si="28"/>
        <v>0.005040031206023245</v>
      </c>
      <c r="AD48" s="53">
        <f t="shared" si="29"/>
        <v>0.030815330298536538</v>
      </c>
      <c r="AE48" s="53">
        <f t="shared" si="30"/>
        <v>0.015995352275556596</v>
      </c>
      <c r="AF48" s="53">
        <f t="shared" si="31"/>
        <v>0.9396074007584433</v>
      </c>
      <c r="AG48" s="53">
        <f t="shared" si="32"/>
        <v>0.008541885461440394</v>
      </c>
      <c r="AH48" s="1">
        <f t="shared" si="25"/>
        <v>249000</v>
      </c>
      <c r="AI48" s="1">
        <f t="shared" si="26"/>
        <v>9253.804142160194</v>
      </c>
    </row>
    <row r="49" spans="5:35" ht="12.75">
      <c r="E49">
        <v>0</v>
      </c>
      <c r="F49" s="2">
        <v>0.022</v>
      </c>
      <c r="G49">
        <v>0.6</v>
      </c>
      <c r="H49">
        <v>25</v>
      </c>
      <c r="I49" s="64">
        <f>IF(L49&lt;=M49,L49/K49*308,M49/K49*308)</f>
        <v>19.23826644689058</v>
      </c>
      <c r="J49" s="44">
        <f t="shared" si="4"/>
        <v>0.03118784125671448</v>
      </c>
      <c r="K49" s="1">
        <f t="shared" si="19"/>
        <v>192117.10214136122</v>
      </c>
      <c r="L49" s="1">
        <f t="shared" si="12"/>
        <v>15593.920628357244</v>
      </c>
      <c r="M49" s="1">
        <f t="shared" si="6"/>
        <v>12000</v>
      </c>
      <c r="N49" s="24">
        <f t="shared" si="13"/>
        <v>20.92080391500408</v>
      </c>
      <c r="O49" s="60">
        <f t="shared" si="7"/>
        <v>54.394090179010604</v>
      </c>
      <c r="P49" s="1">
        <f t="shared" si="14"/>
        <v>2660.1767015706805</v>
      </c>
      <c r="Q49" s="1">
        <f t="shared" si="15"/>
        <v>5855.265439790576</v>
      </c>
      <c r="R49" s="1">
        <f t="shared" si="16"/>
        <v>5065.5</v>
      </c>
      <c r="S49" s="1">
        <f t="shared" si="17"/>
        <v>178536.15999999997</v>
      </c>
      <c r="T49" s="1">
        <f t="shared" si="18"/>
        <v>0</v>
      </c>
      <c r="V49">
        <v>20</v>
      </c>
      <c r="W49" s="52">
        <f t="shared" si="20"/>
        <v>1702.5130890052355</v>
      </c>
      <c r="X49" s="52">
        <f t="shared" si="21"/>
        <v>5855.265439790576</v>
      </c>
      <c r="Y49" s="52">
        <f t="shared" si="22"/>
        <v>4052.3999999999996</v>
      </c>
      <c r="Z49" s="3">
        <f t="shared" si="23"/>
        <v>178536.15999999997</v>
      </c>
      <c r="AA49" s="5">
        <f t="shared" si="24"/>
        <v>1623.056</v>
      </c>
      <c r="AB49" s="24">
        <f t="shared" si="27"/>
        <v>191769.3945287958</v>
      </c>
      <c r="AC49" s="53">
        <f t="shared" si="28"/>
        <v>0.00887791867512826</v>
      </c>
      <c r="AD49" s="53">
        <f t="shared" si="29"/>
        <v>0.0305328462561911</v>
      </c>
      <c r="AE49" s="53">
        <f t="shared" si="30"/>
        <v>0.02113163057096422</v>
      </c>
      <c r="AF49" s="53">
        <f t="shared" si="31"/>
        <v>0.9309940224752145</v>
      </c>
      <c r="AG49" s="53">
        <f t="shared" si="32"/>
        <v>0.00846358202250195</v>
      </c>
      <c r="AH49" s="1">
        <f t="shared" si="25"/>
        <v>186750</v>
      </c>
      <c r="AI49" s="1">
        <f t="shared" si="26"/>
        <v>12452.55808628544</v>
      </c>
    </row>
    <row r="50" spans="4:35" ht="12.75">
      <c r="D50">
        <v>18</v>
      </c>
      <c r="E50">
        <v>5</v>
      </c>
      <c r="F50" s="2">
        <v>0.022</v>
      </c>
      <c r="G50">
        <v>0.3</v>
      </c>
      <c r="H50">
        <v>25</v>
      </c>
      <c r="I50" s="64">
        <f t="shared" si="11"/>
        <v>19.157343299913002</v>
      </c>
      <c r="J50" s="44">
        <f t="shared" si="4"/>
        <v>0.01565979140757802</v>
      </c>
      <c r="K50" s="1">
        <f t="shared" si="19"/>
        <v>192928.6301413612</v>
      </c>
      <c r="L50" s="1">
        <f t="shared" si="12"/>
        <v>15659.79140757802</v>
      </c>
      <c r="M50" s="1">
        <f t="shared" si="6"/>
        <v>12000</v>
      </c>
      <c r="N50" s="24">
        <f t="shared" si="13"/>
        <v>10.504588076203337</v>
      </c>
      <c r="O50" s="60">
        <f t="shared" si="7"/>
        <v>27.31192899812868</v>
      </c>
      <c r="P50" s="1">
        <f t="shared" si="14"/>
        <v>2660.1767015706805</v>
      </c>
      <c r="Q50" s="1">
        <f t="shared" si="15"/>
        <v>5855.265439790576</v>
      </c>
      <c r="R50" s="1">
        <f t="shared" si="16"/>
        <v>5065.5</v>
      </c>
      <c r="S50" s="1">
        <f t="shared" si="17"/>
        <v>178536.15999999997</v>
      </c>
      <c r="T50" s="1">
        <f t="shared" si="18"/>
        <v>811.528</v>
      </c>
      <c r="V50">
        <v>25</v>
      </c>
      <c r="W50" s="52">
        <f t="shared" si="20"/>
        <v>2660.1767015706805</v>
      </c>
      <c r="X50" s="52">
        <f t="shared" si="21"/>
        <v>5855.265439790576</v>
      </c>
      <c r="Y50" s="52">
        <f t="shared" si="22"/>
        <v>5065.5</v>
      </c>
      <c r="Z50" s="3">
        <f t="shared" si="23"/>
        <v>178536.15999999997</v>
      </c>
      <c r="AA50" s="5">
        <f t="shared" si="24"/>
        <v>1623.056</v>
      </c>
      <c r="AB50" s="24">
        <f t="shared" si="27"/>
        <v>193740.15814136123</v>
      </c>
      <c r="AC50" s="53">
        <f t="shared" si="28"/>
        <v>0.013730641737319632</v>
      </c>
      <c r="AD50" s="53">
        <f t="shared" si="29"/>
        <v>0.030222260041298823</v>
      </c>
      <c r="AE50" s="53">
        <f t="shared" si="30"/>
        <v>0.026145844251370908</v>
      </c>
      <c r="AF50" s="53">
        <f t="shared" si="31"/>
        <v>0.921523765195506</v>
      </c>
      <c r="AG50" s="53">
        <f t="shared" si="32"/>
        <v>0.008377488774504602</v>
      </c>
      <c r="AH50" s="1">
        <f t="shared" si="25"/>
        <v>149400</v>
      </c>
      <c r="AI50" s="1">
        <f t="shared" si="26"/>
        <v>15725.6621867988</v>
      </c>
    </row>
    <row r="51" spans="5:35" ht="12.75">
      <c r="E51">
        <v>0</v>
      </c>
      <c r="F51" s="2">
        <v>0.022</v>
      </c>
      <c r="G51">
        <v>0.6</v>
      </c>
      <c r="H51">
        <v>25</v>
      </c>
      <c r="I51" s="64">
        <f t="shared" si="11"/>
        <v>19.23826644689058</v>
      </c>
      <c r="J51" s="44">
        <f t="shared" si="4"/>
        <v>0.03118784125671448</v>
      </c>
      <c r="K51" s="1">
        <f t="shared" si="19"/>
        <v>192117.10214136122</v>
      </c>
      <c r="L51" s="1">
        <f t="shared" si="12"/>
        <v>15593.920628357244</v>
      </c>
      <c r="M51" s="1">
        <f t="shared" si="6"/>
        <v>12000</v>
      </c>
      <c r="N51" s="24">
        <f t="shared" si="13"/>
        <v>20.92080391500408</v>
      </c>
      <c r="O51" s="60">
        <f t="shared" si="7"/>
        <v>54.394090179010604</v>
      </c>
      <c r="P51" s="1">
        <f t="shared" si="14"/>
        <v>2660.1767015706805</v>
      </c>
      <c r="Q51" s="1">
        <f t="shared" si="15"/>
        <v>5855.265439790576</v>
      </c>
      <c r="R51" s="1">
        <f t="shared" si="16"/>
        <v>5065.5</v>
      </c>
      <c r="S51" s="1">
        <f t="shared" si="17"/>
        <v>178536.15999999997</v>
      </c>
      <c r="T51" s="1">
        <f t="shared" si="18"/>
        <v>0</v>
      </c>
      <c r="V51">
        <v>30</v>
      </c>
      <c r="W51" s="52">
        <f t="shared" si="20"/>
        <v>3830.654450261781</v>
      </c>
      <c r="X51" s="52">
        <f t="shared" si="21"/>
        <v>5855.265439790576</v>
      </c>
      <c r="Y51" s="52">
        <f t="shared" si="22"/>
        <v>6078.599999999999</v>
      </c>
      <c r="Z51" s="3">
        <f t="shared" si="23"/>
        <v>178536.15999999997</v>
      </c>
      <c r="AA51" s="5">
        <f t="shared" si="24"/>
        <v>1623.056</v>
      </c>
      <c r="AB51" s="24">
        <f t="shared" si="27"/>
        <v>195923.73589005234</v>
      </c>
      <c r="AC51" s="53">
        <f t="shared" si="28"/>
        <v>0.01955176300033117</v>
      </c>
      <c r="AD51" s="53">
        <f t="shared" si="29"/>
        <v>0.02988543176349194</v>
      </c>
      <c r="AE51" s="53">
        <f t="shared" si="30"/>
        <v>0.03102533734560453</v>
      </c>
      <c r="AF51" s="53">
        <f t="shared" si="31"/>
        <v>0.9112533465582248</v>
      </c>
      <c r="AG51" s="53">
        <f t="shared" si="32"/>
        <v>0.0082841213323475</v>
      </c>
      <c r="AH51" s="1">
        <f t="shared" si="25"/>
        <v>124500</v>
      </c>
      <c r="AI51" s="1">
        <f t="shared" si="26"/>
        <v>19083.480768511592</v>
      </c>
    </row>
    <row r="52" spans="5:35" ht="12.75">
      <c r="E52">
        <v>6</v>
      </c>
      <c r="F52" s="2">
        <v>0.0186</v>
      </c>
      <c r="G52">
        <v>0.1</v>
      </c>
      <c r="H52">
        <v>25</v>
      </c>
      <c r="I52" s="64">
        <f t="shared" si="11"/>
        <v>22.332463417274152</v>
      </c>
      <c r="J52" s="44">
        <f t="shared" si="4"/>
        <v>0.0044777863566385625</v>
      </c>
      <c r="K52" s="1">
        <f t="shared" si="19"/>
        <v>165498.98374136127</v>
      </c>
      <c r="L52" s="1">
        <f t="shared" si="12"/>
        <v>13433.359069915688</v>
      </c>
      <c r="M52" s="1">
        <f t="shared" si="6"/>
        <v>12000</v>
      </c>
      <c r="N52" s="24">
        <f t="shared" si="13"/>
        <v>3.0036990880331476</v>
      </c>
      <c r="O52" s="60">
        <f t="shared" si="7"/>
        <v>7.809617628886184</v>
      </c>
      <c r="P52" s="1">
        <f t="shared" si="14"/>
        <v>2660.1767015706805</v>
      </c>
      <c r="Q52" s="1">
        <f t="shared" si="15"/>
        <v>5855.265439790576</v>
      </c>
      <c r="R52" s="1">
        <f t="shared" si="16"/>
        <v>5065.5</v>
      </c>
      <c r="S52" s="1">
        <f t="shared" si="17"/>
        <v>150944.208</v>
      </c>
      <c r="T52" s="1">
        <f t="shared" si="18"/>
        <v>973.8336000000002</v>
      </c>
      <c r="V52">
        <v>35</v>
      </c>
      <c r="W52" s="52">
        <f t="shared" si="20"/>
        <v>5213.9463350785345</v>
      </c>
      <c r="X52" s="52">
        <f t="shared" si="21"/>
        <v>5855.265439790576</v>
      </c>
      <c r="Y52" s="52">
        <f t="shared" si="22"/>
        <v>7091.7</v>
      </c>
      <c r="Z52" s="3">
        <f t="shared" si="23"/>
        <v>178536.15999999997</v>
      </c>
      <c r="AA52" s="5">
        <f t="shared" si="24"/>
        <v>1623.056</v>
      </c>
      <c r="AB52" s="24">
        <f t="shared" si="27"/>
        <v>198320.1277748691</v>
      </c>
      <c r="AC52" s="53">
        <f t="shared" si="28"/>
        <v>0.026290555545614366</v>
      </c>
      <c r="AD52" s="53">
        <f t="shared" si="29"/>
        <v>0.02952431256214907</v>
      </c>
      <c r="AE52" s="53">
        <f t="shared" si="30"/>
        <v>0.03575885150724803</v>
      </c>
      <c r="AF52" s="53">
        <f t="shared" si="31"/>
        <v>0.9002422598409796</v>
      </c>
      <c r="AG52" s="53">
        <f t="shared" si="32"/>
        <v>0.008184020544008908</v>
      </c>
      <c r="AH52" s="1">
        <f t="shared" si="25"/>
        <v>106714.28571428571</v>
      </c>
      <c r="AI52" s="1">
        <f t="shared" si="26"/>
        <v>22536.378156235125</v>
      </c>
    </row>
    <row r="53" spans="4:35" ht="12.75">
      <c r="D53">
        <v>19</v>
      </c>
      <c r="E53">
        <v>6</v>
      </c>
      <c r="F53" s="2">
        <v>0.0186</v>
      </c>
      <c r="G53">
        <v>0.3</v>
      </c>
      <c r="H53">
        <v>25</v>
      </c>
      <c r="I53" s="64">
        <f t="shared" si="11"/>
        <v>22.332463417274152</v>
      </c>
      <c r="J53" s="44">
        <f t="shared" si="4"/>
        <v>0.013433359069915687</v>
      </c>
      <c r="K53" s="1">
        <f t="shared" si="19"/>
        <v>165498.98374136127</v>
      </c>
      <c r="L53" s="1">
        <f t="shared" si="12"/>
        <v>13433.359069915688</v>
      </c>
      <c r="M53" s="1">
        <f t="shared" si="6"/>
        <v>12000</v>
      </c>
      <c r="N53" s="24">
        <f t="shared" si="13"/>
        <v>9.011097264099444</v>
      </c>
      <c r="O53" s="60">
        <f t="shared" si="7"/>
        <v>23.428852886658554</v>
      </c>
      <c r="P53" s="1">
        <f t="shared" si="14"/>
        <v>2660.1767015706805</v>
      </c>
      <c r="Q53" s="1">
        <f t="shared" si="15"/>
        <v>5855.265439790576</v>
      </c>
      <c r="R53" s="1">
        <f t="shared" si="16"/>
        <v>5065.5</v>
      </c>
      <c r="S53" s="1">
        <f t="shared" si="17"/>
        <v>150944.208</v>
      </c>
      <c r="T53" s="1">
        <f t="shared" si="18"/>
        <v>973.8336000000002</v>
      </c>
      <c r="V53">
        <v>40</v>
      </c>
      <c r="W53" s="52">
        <f t="shared" si="20"/>
        <v>6810.052356020942</v>
      </c>
      <c r="X53" s="52">
        <f t="shared" si="21"/>
        <v>5855.265439790576</v>
      </c>
      <c r="Y53" s="52">
        <f t="shared" si="22"/>
        <v>8104.799999999999</v>
      </c>
      <c r="Z53" s="3">
        <f t="shared" si="23"/>
        <v>178536.15999999997</v>
      </c>
      <c r="AA53" s="5">
        <f t="shared" si="24"/>
        <v>1623.056</v>
      </c>
      <c r="AB53" s="24">
        <f t="shared" si="27"/>
        <v>200929.33379581152</v>
      </c>
      <c r="AC53" s="53">
        <f t="shared" si="28"/>
        <v>0.03389277328188156</v>
      </c>
      <c r="AD53" s="53">
        <f t="shared" si="29"/>
        <v>0.02914091899463926</v>
      </c>
      <c r="AE53" s="53">
        <f t="shared" si="30"/>
        <v>0.040336569314644036</v>
      </c>
      <c r="AF53" s="53">
        <f t="shared" si="31"/>
        <v>0.8885519930177644</v>
      </c>
      <c r="AG53" s="53">
        <f t="shared" si="32"/>
        <v>0.008077745391070586</v>
      </c>
      <c r="AH53" s="1">
        <f t="shared" si="25"/>
        <v>93375</v>
      </c>
      <c r="AI53" s="1">
        <f t="shared" si="26"/>
        <v>26094.718674780717</v>
      </c>
    </row>
    <row r="54" spans="5:35" ht="12.75">
      <c r="E54">
        <v>0</v>
      </c>
      <c r="F54" s="2">
        <v>0.018</v>
      </c>
      <c r="G54">
        <v>0.3</v>
      </c>
      <c r="H54">
        <v>25</v>
      </c>
      <c r="I54" s="64">
        <f t="shared" si="11"/>
        <v>23.1497745992851</v>
      </c>
      <c r="J54" s="44">
        <f t="shared" si="4"/>
        <v>0.012959089459526075</v>
      </c>
      <c r="K54" s="1">
        <f t="shared" si="19"/>
        <v>159655.98214136125</v>
      </c>
      <c r="L54" s="1">
        <f t="shared" si="12"/>
        <v>12959.089459526076</v>
      </c>
      <c r="M54" s="1">
        <f t="shared" si="6"/>
        <v>12000</v>
      </c>
      <c r="N54" s="24">
        <f t="shared" si="13"/>
        <v>8.692957209450093</v>
      </c>
      <c r="O54" s="60">
        <f t="shared" si="7"/>
        <v>22.601688744570243</v>
      </c>
      <c r="P54" s="1">
        <f t="shared" si="14"/>
        <v>2660.1767015706805</v>
      </c>
      <c r="Q54" s="1">
        <f t="shared" si="15"/>
        <v>5855.265439790576</v>
      </c>
      <c r="R54" s="1">
        <f t="shared" si="16"/>
        <v>5065.5</v>
      </c>
      <c r="S54" s="1">
        <f t="shared" si="17"/>
        <v>146075.04</v>
      </c>
      <c r="T54" s="1">
        <f t="shared" si="18"/>
        <v>0</v>
      </c>
      <c r="V54">
        <v>45</v>
      </c>
      <c r="W54" s="52">
        <f t="shared" si="20"/>
        <v>8618.972513089006</v>
      </c>
      <c r="X54" s="52">
        <f t="shared" si="21"/>
        <v>5855.265439790576</v>
      </c>
      <c r="Y54" s="52">
        <f t="shared" si="22"/>
        <v>9117.9</v>
      </c>
      <c r="Z54" s="3">
        <f t="shared" si="23"/>
        <v>178536.15999999997</v>
      </c>
      <c r="AA54" s="5">
        <f t="shared" si="24"/>
        <v>1623.056</v>
      </c>
      <c r="AB54" s="24">
        <f t="shared" si="27"/>
        <v>203751.35395287958</v>
      </c>
      <c r="AC54" s="53">
        <f t="shared" si="28"/>
        <v>0.04230142448566141</v>
      </c>
      <c r="AD54" s="53">
        <f t="shared" si="29"/>
        <v>0.028737308126770486</v>
      </c>
      <c r="AE54" s="53">
        <f t="shared" si="30"/>
        <v>0.04475013207572915</v>
      </c>
      <c r="AF54" s="53">
        <f t="shared" si="31"/>
        <v>0.8762452692279484</v>
      </c>
      <c r="AG54" s="53">
        <f t="shared" si="32"/>
        <v>0.007965866083890442</v>
      </c>
      <c r="AH54" s="1">
        <f t="shared" si="25"/>
        <v>83000</v>
      </c>
      <c r="AI54" s="1">
        <f t="shared" si="26"/>
        <v>29768.86664895968</v>
      </c>
    </row>
    <row r="55" spans="5:35" ht="12.75">
      <c r="E55">
        <v>0</v>
      </c>
      <c r="F55" s="2">
        <v>0.018</v>
      </c>
      <c r="G55">
        <v>0.4</v>
      </c>
      <c r="H55">
        <v>25</v>
      </c>
      <c r="I55" s="64">
        <f t="shared" si="11"/>
        <v>23.1497745992851</v>
      </c>
      <c r="J55" s="44">
        <f t="shared" si="4"/>
        <v>0.01727878594603477</v>
      </c>
      <c r="K55" s="1">
        <f t="shared" si="19"/>
        <v>159655.98214136125</v>
      </c>
      <c r="L55" s="1">
        <f t="shared" si="12"/>
        <v>12959.089459526076</v>
      </c>
      <c r="M55" s="1">
        <f t="shared" si="6"/>
        <v>12000</v>
      </c>
      <c r="N55" s="24">
        <f t="shared" si="13"/>
        <v>11.59060961260012</v>
      </c>
      <c r="O55" s="60">
        <f t="shared" si="7"/>
        <v>30.135584992760315</v>
      </c>
      <c r="P55" s="1">
        <f t="shared" si="14"/>
        <v>2660.1767015706805</v>
      </c>
      <c r="Q55" s="1">
        <f t="shared" si="15"/>
        <v>5855.265439790576</v>
      </c>
      <c r="R55" s="1">
        <f t="shared" si="16"/>
        <v>5065.5</v>
      </c>
      <c r="S55" s="1">
        <f t="shared" si="17"/>
        <v>146075.04</v>
      </c>
      <c r="T55" s="1">
        <f t="shared" si="18"/>
        <v>0</v>
      </c>
      <c r="V55">
        <v>50</v>
      </c>
      <c r="W55" s="52">
        <f t="shared" si="20"/>
        <v>10640.706806282722</v>
      </c>
      <c r="X55" s="52">
        <f t="shared" si="21"/>
        <v>5855.265439790576</v>
      </c>
      <c r="Y55" s="52">
        <f t="shared" si="22"/>
        <v>10131</v>
      </c>
      <c r="Z55" s="3">
        <f t="shared" si="23"/>
        <v>178536.15999999997</v>
      </c>
      <c r="AA55" s="5">
        <f t="shared" si="24"/>
        <v>1623.056</v>
      </c>
      <c r="AB55" s="24">
        <f t="shared" si="27"/>
        <v>206786.1882460733</v>
      </c>
      <c r="AC55" s="53">
        <f t="shared" si="28"/>
        <v>0.051457531552447776</v>
      </c>
      <c r="AD55" s="53">
        <f t="shared" si="29"/>
        <v>0.02831555380682812</v>
      </c>
      <c r="AE55" s="53">
        <f t="shared" si="30"/>
        <v>0.048992633821095546</v>
      </c>
      <c r="AF55" s="53">
        <f t="shared" si="31"/>
        <v>0.8633853233347669</v>
      </c>
      <c r="AG55" s="53">
        <f t="shared" si="32"/>
        <v>0.00784895748486152</v>
      </c>
      <c r="AH55" s="1">
        <f t="shared" si="25"/>
        <v>74700</v>
      </c>
      <c r="AI55" s="1">
        <f t="shared" si="26"/>
        <v>33569.18640358332</v>
      </c>
    </row>
    <row r="56" spans="4:35" ht="12.75">
      <c r="D56">
        <v>20</v>
      </c>
      <c r="E56">
        <v>3</v>
      </c>
      <c r="F56" s="2">
        <v>0.016</v>
      </c>
      <c r="G56">
        <v>0.4</v>
      </c>
      <c r="H56">
        <v>25</v>
      </c>
      <c r="I56" s="64">
        <f t="shared" si="11"/>
        <v>25</v>
      </c>
      <c r="J56" s="44">
        <f t="shared" si="4"/>
        <v>0.016</v>
      </c>
      <c r="K56" s="1">
        <f aca="true" t="shared" si="33" ref="K56:K70">SUM(P56:T56)</f>
        <v>143912.33894136126</v>
      </c>
      <c r="L56" s="1">
        <f aca="true" t="shared" si="34" ref="L56:L70">K56*H56/308</f>
        <v>11681.19634264296</v>
      </c>
      <c r="M56" s="1">
        <f t="shared" si="6"/>
        <v>12000</v>
      </c>
      <c r="N56" s="24">
        <f aca="true" t="shared" si="35" ref="N56:N70">$W$9*G56/H56*VLOOKUP($W$8,$V$34:$Y$42,2,0)*L56/M56</f>
        <v>10.447662008859862</v>
      </c>
      <c r="O56" s="60">
        <f t="shared" si="7"/>
        <v>27.16392122303564</v>
      </c>
      <c r="P56" s="1">
        <f t="shared" si="14"/>
        <v>2660.1767015706805</v>
      </c>
      <c r="Q56" s="1">
        <f t="shared" si="15"/>
        <v>5855.265439790576</v>
      </c>
      <c r="R56" s="1">
        <f t="shared" si="16"/>
        <v>5065.5</v>
      </c>
      <c r="S56" s="1">
        <f t="shared" si="17"/>
        <v>129844.48</v>
      </c>
      <c r="T56" s="1">
        <f t="shared" si="18"/>
        <v>486.9168000000001</v>
      </c>
      <c r="V56">
        <v>55</v>
      </c>
      <c r="W56" s="52">
        <f t="shared" si="20"/>
        <v>12875.255235602099</v>
      </c>
      <c r="X56" s="52">
        <f t="shared" si="21"/>
        <v>5855.265439790576</v>
      </c>
      <c r="Y56" s="52">
        <f t="shared" si="22"/>
        <v>11144.1</v>
      </c>
      <c r="Z56" s="3">
        <f t="shared" si="23"/>
        <v>178536.15999999997</v>
      </c>
      <c r="AA56" s="5">
        <f t="shared" si="24"/>
        <v>1623.056</v>
      </c>
      <c r="AB56" s="24">
        <f t="shared" si="27"/>
        <v>210033.83667539267</v>
      </c>
      <c r="AC56" s="53">
        <f t="shared" si="28"/>
        <v>0.061300861991588566</v>
      </c>
      <c r="AD56" s="53">
        <f t="shared" si="29"/>
        <v>0.027877724525119683</v>
      </c>
      <c r="AE56" s="53">
        <f t="shared" si="30"/>
        <v>0.053058593683755866</v>
      </c>
      <c r="AF56" s="53">
        <f t="shared" si="31"/>
        <v>0.8500352268283689</v>
      </c>
      <c r="AG56" s="53">
        <f t="shared" si="32"/>
        <v>0.007727592971166991</v>
      </c>
      <c r="AH56" s="1">
        <f t="shared" si="25"/>
        <v>67909.09090909091</v>
      </c>
      <c r="AI56" s="1">
        <f t="shared" si="26"/>
        <v>37506.04226346298</v>
      </c>
    </row>
    <row r="57" spans="5:35" ht="12.75">
      <c r="E57">
        <v>0</v>
      </c>
      <c r="F57" s="2">
        <v>0.016</v>
      </c>
      <c r="G57">
        <v>0.3</v>
      </c>
      <c r="H57">
        <v>25</v>
      </c>
      <c r="I57" s="64">
        <f t="shared" si="11"/>
        <v>25</v>
      </c>
      <c r="J57" s="44">
        <f t="shared" si="4"/>
        <v>0.012</v>
      </c>
      <c r="K57" s="1">
        <f t="shared" si="33"/>
        <v>143425.42214136125</v>
      </c>
      <c r="L57" s="1">
        <f t="shared" si="34"/>
        <v>11641.673875110491</v>
      </c>
      <c r="M57" s="1">
        <f t="shared" si="6"/>
        <v>12000</v>
      </c>
      <c r="N57" s="24">
        <f t="shared" si="35"/>
        <v>7.8092348354241174</v>
      </c>
      <c r="O57" s="60">
        <f t="shared" si="7"/>
        <v>20.304010572102705</v>
      </c>
      <c r="P57" s="1">
        <f aca="true" t="shared" si="36" ref="P57:P70">$W$9*((VLOOKUP($W$8,$V$34:$AD$42,7,0)*VLOOKUP($W$8,$V$34:$AD$42,5,0)*H57*H57)/(VLOOKUP($W$8,$V$34:$AD$42,9,0)/VLOOKUP($W$8,$V$34:$AD$42,8,0))/VLOOKUP($W$8,$V$34:$AD$42,8,0))+((VLOOKUP($W$10,$V$25:$AC$31,4,0)*VLOOKUP($W$10,$V$25:$AC$31,5,0)*H57*H57)/(((VLOOKUP($W$10,$V$25:$AC$31,7,0)/2000))/((VLOOKUP($W$10,$V$25:$AC$31,8,0))))/VLOOKUP($W$10,$V$25:$AC$31,8,0))*$Z$6</f>
        <v>2660.1767015706805</v>
      </c>
      <c r="Q57" s="1">
        <f t="shared" si="15"/>
        <v>5855.265439790576</v>
      </c>
      <c r="R57" s="1">
        <f aca="true" t="shared" si="37" ref="R57:R70">$W$9*(VLOOKUP($W$8,$V$34:$AD$42,6,0)*H57)+(VLOOKUP($W$10,$V$25:$AC$31,3,0)*H57)*$Z$6</f>
        <v>5065.5</v>
      </c>
      <c r="S57" s="1">
        <f aca="true" t="shared" si="38" ref="S57:S70">$W$9*(20*F57*(VLOOKUP($W$8,$V$34:$AD$42,9,0)))+(20*F57*(VLOOKUP($W$10,$V$24:$AC$31,7,0)/2000))*$Z$6</f>
        <v>129844.48</v>
      </c>
      <c r="T57" s="1">
        <f aca="true" t="shared" si="39" ref="T57:T70">$W$9*(0.8*E57*(VLOOKUP($W$8,$V$34:$AD$42,9,0))/2000)+(0.8*E57*((VLOOKUP($W$10,$V$25:$AC$31,7,0))/2000/2000))*$Z$6</f>
        <v>0</v>
      </c>
      <c r="V57">
        <v>60</v>
      </c>
      <c r="W57" s="52">
        <f t="shared" si="20"/>
        <v>15322.617801047125</v>
      </c>
      <c r="X57" s="52">
        <f t="shared" si="21"/>
        <v>5855.265439790576</v>
      </c>
      <c r="Y57" s="52">
        <f t="shared" si="22"/>
        <v>12157.199999999999</v>
      </c>
      <c r="Z57" s="3">
        <f t="shared" si="23"/>
        <v>178536.15999999997</v>
      </c>
      <c r="AA57" s="5">
        <f t="shared" si="24"/>
        <v>1623.056</v>
      </c>
      <c r="AB57" s="24">
        <f t="shared" si="27"/>
        <v>213494.2992408377</v>
      </c>
      <c r="AC57" s="53">
        <f t="shared" si="28"/>
        <v>0.07177061802367872</v>
      </c>
      <c r="AD57" s="53">
        <f t="shared" si="29"/>
        <v>0.02742586317579091</v>
      </c>
      <c r="AE57" s="53">
        <f t="shared" si="30"/>
        <v>0.0569439092436176</v>
      </c>
      <c r="AF57" s="53">
        <f t="shared" si="31"/>
        <v>0.8362572707320757</v>
      </c>
      <c r="AG57" s="53">
        <f t="shared" si="32"/>
        <v>0.007602338824837053</v>
      </c>
      <c r="AH57" s="1">
        <f t="shared" si="25"/>
        <v>62250</v>
      </c>
      <c r="AI57" s="1">
        <f t="shared" si="26"/>
        <v>41589.798553409935</v>
      </c>
    </row>
    <row r="58" spans="5:35" ht="12.75">
      <c r="E58">
        <v>2</v>
      </c>
      <c r="F58" s="2">
        <v>0.012</v>
      </c>
      <c r="G58">
        <v>0.5</v>
      </c>
      <c r="H58">
        <v>30</v>
      </c>
      <c r="I58" s="64">
        <f t="shared" si="11"/>
        <v>30</v>
      </c>
      <c r="J58" s="44">
        <f t="shared" si="4"/>
        <v>0.016666666666666666</v>
      </c>
      <c r="K58" s="1">
        <f t="shared" si="33"/>
        <v>113472.49109005234</v>
      </c>
      <c r="L58" s="1">
        <f t="shared" si="34"/>
        <v>11052.515365914189</v>
      </c>
      <c r="M58" s="1">
        <f t="shared" si="6"/>
        <v>12000</v>
      </c>
      <c r="N58" s="24">
        <f t="shared" si="35"/>
        <v>10.297260149243385</v>
      </c>
      <c r="O58" s="60">
        <f t="shared" si="7"/>
        <v>26.772876388032802</v>
      </c>
      <c r="P58" s="1">
        <f t="shared" si="36"/>
        <v>3830.654450261781</v>
      </c>
      <c r="Q58" s="1">
        <f t="shared" si="15"/>
        <v>5855.265439790576</v>
      </c>
      <c r="R58" s="1">
        <f t="shared" si="37"/>
        <v>6078.599999999999</v>
      </c>
      <c r="S58" s="1">
        <f>$W$9*(20*F58*(VLOOKUP($W$8,$V$34:$AD$42,9,0)))+(20*F58*(VLOOKUP($W$10,$V$24:$AC$31,7,0)/2000))*$Z$6</f>
        <v>97383.35999999999</v>
      </c>
      <c r="T58" s="1">
        <f t="shared" si="39"/>
        <v>324.6112</v>
      </c>
      <c r="V58">
        <v>65</v>
      </c>
      <c r="W58" s="52">
        <f t="shared" si="20"/>
        <v>17982.794502617802</v>
      </c>
      <c r="X58" s="52">
        <f t="shared" si="21"/>
        <v>5855.265439790576</v>
      </c>
      <c r="Y58" s="52">
        <f t="shared" si="22"/>
        <v>13170.3</v>
      </c>
      <c r="Z58" s="3">
        <f t="shared" si="23"/>
        <v>178536.15999999997</v>
      </c>
      <c r="AA58" s="5">
        <f t="shared" si="24"/>
        <v>1623.056</v>
      </c>
      <c r="AB58" s="24">
        <f t="shared" si="27"/>
        <v>217167.57594240838</v>
      </c>
      <c r="AC58" s="53">
        <f t="shared" si="28"/>
        <v>0.08280607463881597</v>
      </c>
      <c r="AD58" s="53">
        <f t="shared" si="29"/>
        <v>0.026961968951310485</v>
      </c>
      <c r="AE58" s="53">
        <f t="shared" si="30"/>
        <v>0.06064579365886871</v>
      </c>
      <c r="AF58" s="53">
        <f t="shared" si="31"/>
        <v>0.8221124135370317</v>
      </c>
      <c r="AG58" s="53">
        <f t="shared" si="32"/>
        <v>0.007473749213973016</v>
      </c>
      <c r="AH58" s="1">
        <f t="shared" si="25"/>
        <v>57461.53846153846</v>
      </c>
      <c r="AI58" s="1">
        <f t="shared" si="26"/>
        <v>45830.81959823553</v>
      </c>
    </row>
    <row r="59" spans="5:35" ht="12.75">
      <c r="E59">
        <v>0</v>
      </c>
      <c r="F59" s="2">
        <v>0.006</v>
      </c>
      <c r="G59">
        <v>0.3</v>
      </c>
      <c r="H59">
        <v>40</v>
      </c>
      <c r="I59" s="64">
        <f t="shared" si="11"/>
        <v>40.00000000000001</v>
      </c>
      <c r="J59" s="44">
        <f t="shared" si="4"/>
        <v>0.007499999999999998</v>
      </c>
      <c r="K59" s="1">
        <f t="shared" si="33"/>
        <v>69461.79779581151</v>
      </c>
      <c r="L59" s="1">
        <f t="shared" si="34"/>
        <v>9021.012700754742</v>
      </c>
      <c r="M59" s="1">
        <f t="shared" si="6"/>
        <v>12000</v>
      </c>
      <c r="N59" s="24">
        <f t="shared" si="35"/>
        <v>3.7820595747914254</v>
      </c>
      <c r="O59" s="60">
        <f t="shared" si="7"/>
        <v>9.833354894457706</v>
      </c>
      <c r="P59" s="1">
        <f t="shared" si="36"/>
        <v>6810.052356020942</v>
      </c>
      <c r="Q59" s="1">
        <f t="shared" si="15"/>
        <v>5855.265439790576</v>
      </c>
      <c r="R59" s="1">
        <f t="shared" si="37"/>
        <v>8104.799999999999</v>
      </c>
      <c r="S59" s="1">
        <f t="shared" si="38"/>
        <v>48691.67999999999</v>
      </c>
      <c r="T59" s="1">
        <f t="shared" si="39"/>
        <v>0</v>
      </c>
      <c r="V59">
        <v>70</v>
      </c>
      <c r="W59" s="52">
        <f t="shared" si="20"/>
        <v>20855.785340314138</v>
      </c>
      <c r="X59" s="52">
        <f t="shared" si="21"/>
        <v>5855.265439790576</v>
      </c>
      <c r="Y59" s="52">
        <f t="shared" si="22"/>
        <v>14183.4</v>
      </c>
      <c r="Z59" s="3">
        <f t="shared" si="23"/>
        <v>178536.15999999997</v>
      </c>
      <c r="AA59" s="5">
        <f t="shared" si="24"/>
        <v>1623.056</v>
      </c>
      <c r="AB59" s="24">
        <f t="shared" si="27"/>
        <v>221053.66678010472</v>
      </c>
      <c r="AC59" s="53">
        <f t="shared" si="28"/>
        <v>0.09434715851631013</v>
      </c>
      <c r="AD59" s="53">
        <f t="shared" si="29"/>
        <v>0.026487981516339916</v>
      </c>
      <c r="AE59" s="53">
        <f t="shared" si="30"/>
        <v>0.06416269952268684</v>
      </c>
      <c r="AF59" s="53">
        <f t="shared" si="31"/>
        <v>0.8076597986388552</v>
      </c>
      <c r="AG59" s="53">
        <f t="shared" si="32"/>
        <v>0.007342361805807776</v>
      </c>
      <c r="AH59" s="1">
        <f t="shared" si="25"/>
        <v>53357.142857142855</v>
      </c>
      <c r="AI59" s="1">
        <f t="shared" si="26"/>
        <v>50239.46972275108</v>
      </c>
    </row>
    <row r="60" spans="5:35" ht="12.75">
      <c r="E60">
        <v>0</v>
      </c>
      <c r="F60" s="2">
        <v>0.001</v>
      </c>
      <c r="G60">
        <v>0.4</v>
      </c>
      <c r="H60">
        <v>60</v>
      </c>
      <c r="I60" s="64">
        <f t="shared" si="11"/>
        <v>59.99999999999999</v>
      </c>
      <c r="J60" s="44">
        <f t="shared" si="4"/>
        <v>0.006666666666666668</v>
      </c>
      <c r="K60" s="1">
        <f t="shared" si="33"/>
        <v>41450.3632408377</v>
      </c>
      <c r="L60" s="1">
        <f t="shared" si="34"/>
        <v>8074.746085877474</v>
      </c>
      <c r="M60" s="1">
        <f t="shared" si="6"/>
        <v>12000</v>
      </c>
      <c r="N60" s="24">
        <f t="shared" si="35"/>
        <v>3.009188708003672</v>
      </c>
      <c r="O60" s="60">
        <f t="shared" si="7"/>
        <v>7.823890640809548</v>
      </c>
      <c r="P60" s="1">
        <f t="shared" si="36"/>
        <v>15322.617801047125</v>
      </c>
      <c r="Q60" s="1">
        <f t="shared" si="15"/>
        <v>5855.265439790576</v>
      </c>
      <c r="R60" s="1">
        <f t="shared" si="37"/>
        <v>12157.199999999999</v>
      </c>
      <c r="S60" s="1">
        <f t="shared" si="38"/>
        <v>8115.28</v>
      </c>
      <c r="T60" s="1">
        <f t="shared" si="39"/>
        <v>0</v>
      </c>
      <c r="V60">
        <v>75</v>
      </c>
      <c r="W60" s="52">
        <f t="shared" si="20"/>
        <v>23941.59031413613</v>
      </c>
      <c r="X60" s="52">
        <f t="shared" si="21"/>
        <v>5855.265439790576</v>
      </c>
      <c r="Y60" s="52">
        <f t="shared" si="22"/>
        <v>15196.5</v>
      </c>
      <c r="Z60" s="3">
        <f t="shared" si="23"/>
        <v>178536.15999999997</v>
      </c>
      <c r="AA60" s="5">
        <f t="shared" si="24"/>
        <v>1623.056</v>
      </c>
      <c r="AB60" s="24">
        <f t="shared" si="27"/>
        <v>225152.5717539267</v>
      </c>
      <c r="AC60" s="53">
        <f t="shared" si="28"/>
        <v>0.10633496267722994</v>
      </c>
      <c r="AD60" s="53">
        <f t="shared" si="29"/>
        <v>0.0260057675298948</v>
      </c>
      <c r="AE60" s="53">
        <f t="shared" si="30"/>
        <v>0.06749423238482272</v>
      </c>
      <c r="AF60" s="53">
        <f t="shared" si="31"/>
        <v>0.7929563433773493</v>
      </c>
      <c r="AG60" s="53">
        <f t="shared" si="32"/>
        <v>0.007208694030703177</v>
      </c>
      <c r="AH60" s="1">
        <f t="shared" si="25"/>
        <v>49800</v>
      </c>
      <c r="AI60" s="1">
        <f t="shared" si="26"/>
        <v>54826.113251767856</v>
      </c>
    </row>
    <row r="61" spans="5:35" ht="12.75">
      <c r="E61">
        <v>3</v>
      </c>
      <c r="F61" s="2">
        <v>0</v>
      </c>
      <c r="G61">
        <v>0.6</v>
      </c>
      <c r="H61">
        <v>60</v>
      </c>
      <c r="I61" s="64">
        <f t="shared" si="11"/>
        <v>60</v>
      </c>
      <c r="J61" s="44">
        <f t="shared" si="4"/>
        <v>0.01</v>
      </c>
      <c r="K61" s="1">
        <f t="shared" si="33"/>
        <v>33822.0000408377</v>
      </c>
      <c r="L61" s="1">
        <f t="shared" si="34"/>
        <v>6588.701306656695</v>
      </c>
      <c r="M61" s="1">
        <f t="shared" si="6"/>
        <v>12000</v>
      </c>
      <c r="N61" s="24">
        <f t="shared" si="35"/>
        <v>3.6830840304210923</v>
      </c>
      <c r="O61" s="60">
        <f t="shared" si="7"/>
        <v>9.57601847909484</v>
      </c>
      <c r="P61" s="1">
        <f t="shared" si="36"/>
        <v>15322.617801047125</v>
      </c>
      <c r="Q61" s="1">
        <f t="shared" si="15"/>
        <v>5855.265439790576</v>
      </c>
      <c r="R61" s="1">
        <f t="shared" si="37"/>
        <v>12157.199999999999</v>
      </c>
      <c r="S61" s="1">
        <f t="shared" si="38"/>
        <v>0</v>
      </c>
      <c r="T61" s="1">
        <f t="shared" si="39"/>
        <v>486.9168000000001</v>
      </c>
      <c r="V61">
        <v>80</v>
      </c>
      <c r="W61" s="52">
        <f t="shared" si="20"/>
        <v>27240.20942408377</v>
      </c>
      <c r="X61" s="52">
        <f t="shared" si="21"/>
        <v>5855.265439790576</v>
      </c>
      <c r="Y61" s="52">
        <f t="shared" si="22"/>
        <v>16209.599999999999</v>
      </c>
      <c r="Z61" s="3">
        <f t="shared" si="23"/>
        <v>178536.15999999997</v>
      </c>
      <c r="AA61" s="5">
        <f t="shared" si="24"/>
        <v>1623.056</v>
      </c>
      <c r="AB61" s="24">
        <f t="shared" si="27"/>
        <v>229464.29086387434</v>
      </c>
      <c r="AC61" s="53">
        <f t="shared" si="28"/>
        <v>0.11871219404784662</v>
      </c>
      <c r="AD61" s="53">
        <f t="shared" si="29"/>
        <v>0.025517109515153753</v>
      </c>
      <c r="AE61" s="53">
        <f t="shared" si="30"/>
        <v>0.0706410567804472</v>
      </c>
      <c r="AF61" s="53">
        <f t="shared" si="31"/>
        <v>0.7780563996596465</v>
      </c>
      <c r="AG61" s="53">
        <f t="shared" si="32"/>
        <v>0.007073239996905878</v>
      </c>
      <c r="AH61" s="1">
        <f t="shared" si="25"/>
        <v>46687.5</v>
      </c>
      <c r="AI61" s="1">
        <f t="shared" si="26"/>
        <v>59601.11451009723</v>
      </c>
    </row>
    <row r="62" spans="5:35" ht="12.75">
      <c r="E62">
        <v>3</v>
      </c>
      <c r="F62" s="2">
        <v>0</v>
      </c>
      <c r="G62">
        <v>0.7</v>
      </c>
      <c r="H62">
        <v>60</v>
      </c>
      <c r="I62" s="64">
        <f t="shared" si="11"/>
        <v>60</v>
      </c>
      <c r="J62" s="44">
        <f t="shared" si="4"/>
        <v>0.011666666666666665</v>
      </c>
      <c r="K62" s="1">
        <f t="shared" si="33"/>
        <v>33822.0000408377</v>
      </c>
      <c r="L62" s="1">
        <f t="shared" si="34"/>
        <v>6588.701306656695</v>
      </c>
      <c r="M62" s="1">
        <f t="shared" si="6"/>
        <v>12000</v>
      </c>
      <c r="N62" s="24">
        <f t="shared" si="35"/>
        <v>4.296931368824607</v>
      </c>
      <c r="O62" s="60">
        <f t="shared" si="7"/>
        <v>11.172021558943978</v>
      </c>
      <c r="P62" s="1">
        <f t="shared" si="36"/>
        <v>15322.617801047125</v>
      </c>
      <c r="Q62" s="1">
        <f t="shared" si="15"/>
        <v>5855.265439790576</v>
      </c>
      <c r="R62" s="1">
        <f t="shared" si="37"/>
        <v>12157.199999999999</v>
      </c>
      <c r="S62" s="1">
        <f t="shared" si="38"/>
        <v>0</v>
      </c>
      <c r="T62" s="1">
        <f t="shared" si="39"/>
        <v>486.9168000000001</v>
      </c>
      <c r="V62">
        <v>85</v>
      </c>
      <c r="W62" s="52">
        <f t="shared" si="20"/>
        <v>30751.642670157067</v>
      </c>
      <c r="X62" s="52">
        <f t="shared" si="21"/>
        <v>5855.265439790576</v>
      </c>
      <c r="Y62" s="52">
        <f t="shared" si="22"/>
        <v>17222.7</v>
      </c>
      <c r="Z62" s="3">
        <f t="shared" si="23"/>
        <v>178536.15999999997</v>
      </c>
      <c r="AA62" s="5">
        <f t="shared" si="24"/>
        <v>1623.056</v>
      </c>
      <c r="AB62" s="24">
        <f t="shared" si="27"/>
        <v>233988.82410994763</v>
      </c>
      <c r="AC62" s="53">
        <f t="shared" si="28"/>
        <v>0.1314235531852041</v>
      </c>
      <c r="AD62" s="53">
        <f t="shared" si="29"/>
        <v>0.025023697016568962</v>
      </c>
      <c r="AE62" s="53">
        <f t="shared" si="30"/>
        <v>0.07360479743215141</v>
      </c>
      <c r="AF62" s="53">
        <f t="shared" si="31"/>
        <v>0.7630114843267415</v>
      </c>
      <c r="AG62" s="53">
        <f t="shared" si="32"/>
        <v>0.006936468039334015</v>
      </c>
      <c r="AH62" s="1">
        <f t="shared" si="25"/>
        <v>43941.17647058824</v>
      </c>
      <c r="AI62" s="1">
        <f t="shared" si="26"/>
        <v>64574.837822550486</v>
      </c>
    </row>
    <row r="63" spans="5:35" ht="12.75">
      <c r="E63">
        <v>0</v>
      </c>
      <c r="F63" s="2">
        <v>0</v>
      </c>
      <c r="G63">
        <v>0.4</v>
      </c>
      <c r="H63">
        <v>60</v>
      </c>
      <c r="I63" s="64">
        <f t="shared" si="11"/>
        <v>60</v>
      </c>
      <c r="J63" s="44">
        <f t="shared" si="4"/>
        <v>0.006666666666666667</v>
      </c>
      <c r="K63" s="1">
        <f t="shared" si="33"/>
        <v>33335.0832408377</v>
      </c>
      <c r="L63" s="1">
        <f t="shared" si="34"/>
        <v>6493.847384578774</v>
      </c>
      <c r="M63" s="1">
        <f t="shared" si="6"/>
        <v>12000</v>
      </c>
      <c r="N63" s="24">
        <f t="shared" si="35"/>
        <v>2.4200404586530233</v>
      </c>
      <c r="O63" s="60">
        <f t="shared" si="7"/>
        <v>6.292105192497861</v>
      </c>
      <c r="P63" s="1">
        <f t="shared" si="36"/>
        <v>15322.617801047125</v>
      </c>
      <c r="Q63" s="1">
        <f t="shared" si="15"/>
        <v>5855.265439790576</v>
      </c>
      <c r="R63" s="1">
        <f t="shared" si="37"/>
        <v>12157.199999999999</v>
      </c>
      <c r="S63" s="1">
        <f t="shared" si="38"/>
        <v>0</v>
      </c>
      <c r="T63" s="1">
        <f t="shared" si="39"/>
        <v>0</v>
      </c>
      <c r="V63">
        <v>90</v>
      </c>
      <c r="W63" s="52">
        <f t="shared" si="20"/>
        <v>34475.89005235602</v>
      </c>
      <c r="X63" s="52">
        <f t="shared" si="21"/>
        <v>5855.265439790576</v>
      </c>
      <c r="Y63" s="52">
        <f t="shared" si="22"/>
        <v>18235.8</v>
      </c>
      <c r="Z63" s="3">
        <f t="shared" si="23"/>
        <v>178536.15999999997</v>
      </c>
      <c r="AA63" s="5">
        <f t="shared" si="24"/>
        <v>1623.056</v>
      </c>
      <c r="AB63" s="24">
        <f t="shared" si="27"/>
        <v>238726.1714921466</v>
      </c>
      <c r="AC63" s="53">
        <f t="shared" si="28"/>
        <v>0.1444160472095125</v>
      </c>
      <c r="AD63" s="53">
        <f t="shared" si="29"/>
        <v>0.02452711993491337</v>
      </c>
      <c r="AE63" s="53">
        <f t="shared" si="30"/>
        <v>0.07638793805479306</v>
      </c>
      <c r="AF63" s="53">
        <f t="shared" si="31"/>
        <v>0.7478700759287019</v>
      </c>
      <c r="AG63" s="53">
        <f t="shared" si="32"/>
        <v>0.006798818872079109</v>
      </c>
      <c r="AH63" s="1">
        <f t="shared" si="25"/>
        <v>41500</v>
      </c>
      <c r="AI63" s="1">
        <f t="shared" si="26"/>
        <v>69757.64751393894</v>
      </c>
    </row>
    <row r="64" spans="5:35" ht="12.75">
      <c r="E64">
        <v>0</v>
      </c>
      <c r="F64" s="2">
        <v>0</v>
      </c>
      <c r="G64">
        <v>0.8</v>
      </c>
      <c r="H64">
        <v>60</v>
      </c>
      <c r="I64" s="64">
        <f t="shared" si="11"/>
        <v>60</v>
      </c>
      <c r="J64" s="44">
        <f t="shared" si="4"/>
        <v>0.013333333333333334</v>
      </c>
      <c r="K64" s="1">
        <f t="shared" si="33"/>
        <v>33335.0832408377</v>
      </c>
      <c r="L64" s="1">
        <f t="shared" si="34"/>
        <v>6493.847384578774</v>
      </c>
      <c r="M64" s="1">
        <f t="shared" si="6"/>
        <v>12000</v>
      </c>
      <c r="N64" s="24">
        <f t="shared" si="35"/>
        <v>4.840080917306047</v>
      </c>
      <c r="O64" s="60">
        <f t="shared" si="7"/>
        <v>12.584210384995721</v>
      </c>
      <c r="P64" s="1">
        <f t="shared" si="36"/>
        <v>15322.617801047125</v>
      </c>
      <c r="Q64" s="1">
        <f t="shared" si="15"/>
        <v>5855.265439790576</v>
      </c>
      <c r="R64" s="1">
        <f t="shared" si="37"/>
        <v>12157.199999999999</v>
      </c>
      <c r="S64" s="1">
        <f t="shared" si="38"/>
        <v>0</v>
      </c>
      <c r="T64" s="1">
        <f t="shared" si="39"/>
        <v>0</v>
      </c>
      <c r="V64">
        <v>95</v>
      </c>
      <c r="W64" s="52">
        <f t="shared" si="20"/>
        <v>38412.951570680634</v>
      </c>
      <c r="X64" s="52">
        <f t="shared" si="21"/>
        <v>5855.265439790576</v>
      </c>
      <c r="Y64" s="52">
        <f t="shared" si="22"/>
        <v>19248.899999999998</v>
      </c>
      <c r="Z64" s="3">
        <f t="shared" si="23"/>
        <v>178536.15999999997</v>
      </c>
      <c r="AA64" s="5">
        <f t="shared" si="24"/>
        <v>1623.056</v>
      </c>
      <c r="AB64" s="24">
        <f t="shared" si="27"/>
        <v>243676.3330104712</v>
      </c>
      <c r="AC64" s="53">
        <f t="shared" si="28"/>
        <v>0.15763923847717276</v>
      </c>
      <c r="AD64" s="53">
        <f t="shared" si="29"/>
        <v>0.024028863892739904</v>
      </c>
      <c r="AE64" s="53">
        <f t="shared" si="30"/>
        <v>0.0789937199160529</v>
      </c>
      <c r="AF64" s="53">
        <f t="shared" si="31"/>
        <v>0.7326774734103043</v>
      </c>
      <c r="AG64" s="53">
        <f t="shared" si="32"/>
        <v>0.006660704303730041</v>
      </c>
      <c r="AH64" s="1">
        <f t="shared" si="25"/>
        <v>39315.78947368421</v>
      </c>
      <c r="AI64" s="1">
        <f t="shared" si="26"/>
        <v>75159.9079090739</v>
      </c>
    </row>
    <row r="65" spans="5:35" ht="12.75">
      <c r="E65">
        <v>0</v>
      </c>
      <c r="F65" s="2">
        <v>0</v>
      </c>
      <c r="G65">
        <v>0.6</v>
      </c>
      <c r="H65">
        <v>60</v>
      </c>
      <c r="I65" s="64">
        <f t="shared" si="11"/>
        <v>60</v>
      </c>
      <c r="J65" s="44">
        <f t="shared" si="4"/>
        <v>0.01</v>
      </c>
      <c r="K65" s="1">
        <f t="shared" si="33"/>
        <v>33335.0832408377</v>
      </c>
      <c r="L65" s="1">
        <f t="shared" si="34"/>
        <v>6493.847384578774</v>
      </c>
      <c r="M65" s="1">
        <f t="shared" si="6"/>
        <v>12000</v>
      </c>
      <c r="N65" s="24">
        <f t="shared" si="35"/>
        <v>3.630060687979534</v>
      </c>
      <c r="O65" s="60">
        <f t="shared" si="7"/>
        <v>9.43815778874679</v>
      </c>
      <c r="P65" s="1">
        <f t="shared" si="36"/>
        <v>15322.617801047125</v>
      </c>
      <c r="Q65" s="1">
        <f t="shared" si="15"/>
        <v>5855.265439790576</v>
      </c>
      <c r="R65" s="1">
        <f t="shared" si="37"/>
        <v>12157.199999999999</v>
      </c>
      <c r="S65" s="1">
        <f t="shared" si="38"/>
        <v>0</v>
      </c>
      <c r="T65" s="1">
        <f t="shared" si="39"/>
        <v>0</v>
      </c>
      <c r="V65">
        <v>100</v>
      </c>
      <c r="W65" s="52">
        <f t="shared" si="20"/>
        <v>42562.82722513089</v>
      </c>
      <c r="X65" s="52">
        <f t="shared" si="21"/>
        <v>5855.265439790576</v>
      </c>
      <c r="Y65" s="52">
        <f t="shared" si="22"/>
        <v>20262</v>
      </c>
      <c r="Z65" s="3">
        <f t="shared" si="23"/>
        <v>178536.15999999997</v>
      </c>
      <c r="AA65" s="5">
        <f t="shared" si="24"/>
        <v>1623.056</v>
      </c>
      <c r="AB65" s="24">
        <f t="shared" si="27"/>
        <v>248839.30866492147</v>
      </c>
      <c r="AC65" s="53">
        <f t="shared" si="28"/>
        <v>0.17104543270711517</v>
      </c>
      <c r="AD65" s="53">
        <f t="shared" si="29"/>
        <v>0.0235303074550616</v>
      </c>
      <c r="AE65" s="53">
        <f t="shared" si="30"/>
        <v>0.08142604200562267</v>
      </c>
      <c r="AF65" s="53">
        <f t="shared" si="31"/>
        <v>0.7174757113652437</v>
      </c>
      <c r="AG65" s="53">
        <f t="shared" si="32"/>
        <v>0.006522506466956761</v>
      </c>
      <c r="AH65" s="1">
        <f t="shared" si="25"/>
        <v>37350</v>
      </c>
      <c r="AI65" s="1">
        <f t="shared" si="26"/>
        <v>80791.98333276671</v>
      </c>
    </row>
    <row r="66" spans="5:35" ht="12.75">
      <c r="E66">
        <v>5</v>
      </c>
      <c r="F66" s="2">
        <v>0</v>
      </c>
      <c r="G66">
        <v>0.6</v>
      </c>
      <c r="H66">
        <v>60</v>
      </c>
      <c r="I66" s="64">
        <f t="shared" si="11"/>
        <v>60</v>
      </c>
      <c r="J66" s="44">
        <f t="shared" si="4"/>
        <v>0.01</v>
      </c>
      <c r="K66" s="1">
        <f t="shared" si="33"/>
        <v>34146.6112408377</v>
      </c>
      <c r="L66" s="1">
        <f t="shared" si="34"/>
        <v>6651.937254708643</v>
      </c>
      <c r="M66" s="1">
        <f t="shared" si="6"/>
        <v>12000</v>
      </c>
      <c r="N66" s="24">
        <f t="shared" si="35"/>
        <v>3.7184329253821313</v>
      </c>
      <c r="O66" s="60">
        <f t="shared" si="7"/>
        <v>9.667925605993542</v>
      </c>
      <c r="P66" s="1">
        <f t="shared" si="36"/>
        <v>15322.617801047125</v>
      </c>
      <c r="Q66" s="1">
        <f t="shared" si="15"/>
        <v>5855.265439790576</v>
      </c>
      <c r="R66" s="1">
        <f t="shared" si="37"/>
        <v>12157.199999999999</v>
      </c>
      <c r="S66" s="1">
        <f t="shared" si="38"/>
        <v>0</v>
      </c>
      <c r="T66" s="1">
        <f t="shared" si="39"/>
        <v>811.528</v>
      </c>
      <c r="V66">
        <v>105</v>
      </c>
      <c r="W66" s="52">
        <f t="shared" si="20"/>
        <v>46925.51701570681</v>
      </c>
      <c r="X66" s="52">
        <f t="shared" si="21"/>
        <v>5855.265439790576</v>
      </c>
      <c r="Y66" s="52">
        <f t="shared" si="22"/>
        <v>21275.1</v>
      </c>
      <c r="Z66" s="3">
        <f t="shared" si="23"/>
        <v>178536.15999999997</v>
      </c>
      <c r="AA66" s="5">
        <f t="shared" si="24"/>
        <v>1623.056</v>
      </c>
      <c r="AB66" s="24">
        <f t="shared" si="27"/>
        <v>254215.09845549738</v>
      </c>
      <c r="AC66" s="53">
        <f t="shared" si="28"/>
        <v>0.18458981115128983</v>
      </c>
      <c r="AD66" s="53">
        <f t="shared" si="29"/>
        <v>0.02303272101210618</v>
      </c>
      <c r="AE66" s="53">
        <f t="shared" si="30"/>
        <v>0.08368936435820862</v>
      </c>
      <c r="AF66" s="53">
        <f t="shared" si="31"/>
        <v>0.7023035259695809</v>
      </c>
      <c r="AG66" s="53">
        <f t="shared" si="32"/>
        <v>0.006384577508814373</v>
      </c>
      <c r="AH66" s="1">
        <f t="shared" si="25"/>
        <v>35571.42857142857</v>
      </c>
      <c r="AI66" s="1">
        <f t="shared" si="26"/>
        <v>86664.23810982866</v>
      </c>
    </row>
    <row r="67" spans="5:35" ht="12.75">
      <c r="E67">
        <v>0</v>
      </c>
      <c r="F67" s="2">
        <v>0.003</v>
      </c>
      <c r="G67">
        <v>0.5</v>
      </c>
      <c r="H67">
        <v>60</v>
      </c>
      <c r="I67" s="64">
        <f t="shared" si="11"/>
        <v>60</v>
      </c>
      <c r="J67" s="44">
        <f t="shared" si="4"/>
        <v>0.008333333333333333</v>
      </c>
      <c r="K67" s="1">
        <f t="shared" si="33"/>
        <v>57680.9232408377</v>
      </c>
      <c r="L67" s="1">
        <f t="shared" si="34"/>
        <v>11236.543488474877</v>
      </c>
      <c r="M67" s="1">
        <f t="shared" si="6"/>
        <v>12000</v>
      </c>
      <c r="N67" s="24">
        <f t="shared" si="35"/>
        <v>5.234356508381214</v>
      </c>
      <c r="O67" s="60">
        <f t="shared" si="7"/>
        <v>13.609326921791157</v>
      </c>
      <c r="P67" s="1">
        <f t="shared" si="36"/>
        <v>15322.617801047125</v>
      </c>
      <c r="Q67" s="1">
        <f t="shared" si="15"/>
        <v>5855.265439790576</v>
      </c>
      <c r="R67" s="1">
        <f t="shared" si="37"/>
        <v>12157.199999999999</v>
      </c>
      <c r="S67" s="1">
        <f t="shared" si="38"/>
        <v>24345.839999999997</v>
      </c>
      <c r="T67" s="1">
        <f t="shared" si="39"/>
        <v>0</v>
      </c>
      <c r="V67">
        <v>110</v>
      </c>
      <c r="W67" s="52">
        <f t="shared" si="20"/>
        <v>51501.020942408395</v>
      </c>
      <c r="X67" s="52">
        <f t="shared" si="21"/>
        <v>5855.265439790576</v>
      </c>
      <c r="Y67" s="52">
        <f t="shared" si="22"/>
        <v>22288.2</v>
      </c>
      <c r="Z67" s="3">
        <f t="shared" si="23"/>
        <v>178536.15999999997</v>
      </c>
      <c r="AA67" s="5">
        <f t="shared" si="24"/>
        <v>1623.056</v>
      </c>
      <c r="AB67" s="24">
        <f t="shared" si="27"/>
        <v>259803.70238219897</v>
      </c>
      <c r="AC67" s="53">
        <f t="shared" si="28"/>
        <v>0.19823051199880476</v>
      </c>
      <c r="AD67" s="53">
        <f t="shared" si="29"/>
        <v>0.022537267121685804</v>
      </c>
      <c r="AE67" s="53">
        <f t="shared" si="30"/>
        <v>0.08578861577273321</v>
      </c>
      <c r="AF67" s="53">
        <f t="shared" si="31"/>
        <v>0.6871963654211295</v>
      </c>
      <c r="AG67" s="53">
        <f t="shared" si="32"/>
        <v>0.006247239685646633</v>
      </c>
      <c r="AH67" s="1">
        <f t="shared" si="25"/>
        <v>33954.545454545456</v>
      </c>
      <c r="AI67" s="1">
        <f t="shared" si="26"/>
        <v>92787.03656507106</v>
      </c>
    </row>
    <row r="68" spans="5:35" ht="12.75">
      <c r="E68">
        <v>2</v>
      </c>
      <c r="F68" s="2">
        <v>0.002</v>
      </c>
      <c r="G68">
        <v>0.3</v>
      </c>
      <c r="H68">
        <v>60</v>
      </c>
      <c r="I68" s="64">
        <f t="shared" si="11"/>
        <v>60</v>
      </c>
      <c r="J68" s="44">
        <f t="shared" si="4"/>
        <v>0.005</v>
      </c>
      <c r="K68" s="1">
        <f t="shared" si="33"/>
        <v>49890.2544408377</v>
      </c>
      <c r="L68" s="1">
        <f t="shared" si="34"/>
        <v>9718.880735228124</v>
      </c>
      <c r="M68" s="1">
        <f t="shared" si="6"/>
        <v>12000</v>
      </c>
      <c r="N68" s="24">
        <f t="shared" si="35"/>
        <v>2.71642716549626</v>
      </c>
      <c r="O68" s="60">
        <f t="shared" si="7"/>
        <v>7.062710630290277</v>
      </c>
      <c r="P68" s="1">
        <f t="shared" si="36"/>
        <v>15322.617801047125</v>
      </c>
      <c r="Q68" s="1">
        <f t="shared" si="15"/>
        <v>5855.265439790576</v>
      </c>
      <c r="R68" s="1">
        <f t="shared" si="37"/>
        <v>12157.199999999999</v>
      </c>
      <c r="S68" s="1">
        <f t="shared" si="38"/>
        <v>16230.56</v>
      </c>
      <c r="T68" s="1">
        <f t="shared" si="39"/>
        <v>324.6112</v>
      </c>
      <c r="V68">
        <v>115</v>
      </c>
      <c r="W68" s="52">
        <f t="shared" si="20"/>
        <v>56289.339005235604</v>
      </c>
      <c r="X68" s="52">
        <f t="shared" si="21"/>
        <v>5855.265439790576</v>
      </c>
      <c r="Y68" s="52">
        <f t="shared" si="22"/>
        <v>23301.3</v>
      </c>
      <c r="Z68" s="3">
        <f t="shared" si="23"/>
        <v>178536.15999999997</v>
      </c>
      <c r="AA68" s="5">
        <f t="shared" si="24"/>
        <v>1623.056</v>
      </c>
      <c r="AB68" s="24">
        <f t="shared" si="27"/>
        <v>265605.12044502614</v>
      </c>
      <c r="AC68" s="53">
        <f t="shared" si="28"/>
        <v>0.21192866655176604</v>
      </c>
      <c r="AD68" s="53">
        <f t="shared" si="29"/>
        <v>0.0220450021068117</v>
      </c>
      <c r="AE68" s="53">
        <f t="shared" si="30"/>
        <v>0.0877291068822704</v>
      </c>
      <c r="AF68" s="53">
        <f t="shared" si="31"/>
        <v>0.6721864386532136</v>
      </c>
      <c r="AG68" s="53">
        <f t="shared" si="32"/>
        <v>0.006110785805938306</v>
      </c>
      <c r="AH68" s="1">
        <f t="shared" si="25"/>
        <v>32478.260869565216</v>
      </c>
      <c r="AI68" s="1">
        <f t="shared" si="26"/>
        <v>99170.74302330521</v>
      </c>
    </row>
    <row r="69" spans="5:35" ht="12.75">
      <c r="E69">
        <v>0</v>
      </c>
      <c r="F69" s="2">
        <v>0</v>
      </c>
      <c r="G69">
        <v>0.7</v>
      </c>
      <c r="H69">
        <v>60</v>
      </c>
      <c r="I69" s="64">
        <f t="shared" si="11"/>
        <v>60</v>
      </c>
      <c r="J69" s="44">
        <f t="shared" si="4"/>
        <v>0.011666666666666665</v>
      </c>
      <c r="K69" s="1">
        <f t="shared" si="33"/>
        <v>33335.0832408377</v>
      </c>
      <c r="L69" s="1">
        <f t="shared" si="34"/>
        <v>6493.847384578774</v>
      </c>
      <c r="M69" s="1">
        <f t="shared" si="6"/>
        <v>12000</v>
      </c>
      <c r="N69" s="24">
        <f t="shared" si="35"/>
        <v>4.23507080264279</v>
      </c>
      <c r="O69" s="60">
        <f t="shared" si="7"/>
        <v>11.011184086871253</v>
      </c>
      <c r="P69" s="1">
        <f t="shared" si="36"/>
        <v>15322.617801047125</v>
      </c>
      <c r="Q69" s="1">
        <f t="shared" si="15"/>
        <v>5855.265439790576</v>
      </c>
      <c r="R69" s="1">
        <f t="shared" si="37"/>
        <v>12157.199999999999</v>
      </c>
      <c r="S69" s="1">
        <f t="shared" si="38"/>
        <v>0</v>
      </c>
      <c r="T69" s="1">
        <f t="shared" si="39"/>
        <v>0</v>
      </c>
      <c r="V69">
        <v>120</v>
      </c>
      <c r="W69" s="52">
        <f t="shared" si="20"/>
        <v>61290.4712041885</v>
      </c>
      <c r="X69" s="52">
        <f t="shared" si="21"/>
        <v>5855.265439790576</v>
      </c>
      <c r="Y69" s="52">
        <f t="shared" si="22"/>
        <v>24314.399999999998</v>
      </c>
      <c r="Z69" s="3">
        <f t="shared" si="23"/>
        <v>178536.15999999997</v>
      </c>
      <c r="AA69" s="5">
        <f t="shared" si="24"/>
        <v>1623.056</v>
      </c>
      <c r="AB69" s="24">
        <f t="shared" si="27"/>
        <v>271619.352643979</v>
      </c>
      <c r="AC69" s="53">
        <f t="shared" si="28"/>
        <v>0.22564839584359095</v>
      </c>
      <c r="AD69" s="53">
        <f t="shared" si="29"/>
        <v>0.021556878708363897</v>
      </c>
      <c r="AE69" s="53">
        <f t="shared" si="30"/>
        <v>0.08951644926372287</v>
      </c>
      <c r="AF69" s="53">
        <f t="shared" si="31"/>
        <v>0.6573027962186979</v>
      </c>
      <c r="AG69" s="53">
        <f t="shared" si="32"/>
        <v>0.005975479965624527</v>
      </c>
      <c r="AH69" s="1">
        <f t="shared" si="25"/>
        <v>31125</v>
      </c>
      <c r="AI69" s="1">
        <f t="shared" si="26"/>
        <v>105825.72180934247</v>
      </c>
    </row>
    <row r="70" spans="5:35" ht="12.75">
      <c r="E70">
        <v>0</v>
      </c>
      <c r="F70" s="2">
        <v>0</v>
      </c>
      <c r="G70">
        <v>0.7</v>
      </c>
      <c r="H70">
        <v>60</v>
      </c>
      <c r="I70" s="64">
        <f t="shared" si="11"/>
        <v>60</v>
      </c>
      <c r="J70" s="44">
        <f t="shared" si="4"/>
        <v>0.011666666666666665</v>
      </c>
      <c r="K70" s="1">
        <f t="shared" si="33"/>
        <v>33335.0832408377</v>
      </c>
      <c r="L70" s="1">
        <f t="shared" si="34"/>
        <v>6493.847384578774</v>
      </c>
      <c r="M70" s="1">
        <f t="shared" si="6"/>
        <v>12000</v>
      </c>
      <c r="N70" s="24">
        <f t="shared" si="35"/>
        <v>4.23507080264279</v>
      </c>
      <c r="O70" s="60">
        <f t="shared" si="7"/>
        <v>11.011184086871253</v>
      </c>
      <c r="P70" s="1">
        <f t="shared" si="36"/>
        <v>15322.617801047125</v>
      </c>
      <c r="Q70" s="1">
        <f t="shared" si="15"/>
        <v>5855.265439790576</v>
      </c>
      <c r="R70" s="1">
        <f t="shared" si="37"/>
        <v>12157.199999999999</v>
      </c>
      <c r="S70" s="1">
        <f t="shared" si="38"/>
        <v>0</v>
      </c>
      <c r="T70" s="1">
        <f t="shared" si="39"/>
        <v>0</v>
      </c>
      <c r="V70">
        <v>125</v>
      </c>
      <c r="W70" s="52">
        <f t="shared" si="20"/>
        <v>66504.41753926701</v>
      </c>
      <c r="X70" s="52">
        <f t="shared" si="21"/>
        <v>5855.265439790576</v>
      </c>
      <c r="Y70" s="52">
        <f t="shared" si="22"/>
        <v>25327.5</v>
      </c>
      <c r="Z70" s="3">
        <f t="shared" si="23"/>
        <v>178536.15999999997</v>
      </c>
      <c r="AA70" s="5">
        <f t="shared" si="24"/>
        <v>1623.056</v>
      </c>
      <c r="AB70" s="24">
        <f t="shared" si="27"/>
        <v>277846.39897905756</v>
      </c>
      <c r="AC70" s="53">
        <f t="shared" si="28"/>
        <v>0.2393567733238095</v>
      </c>
      <c r="AD70" s="53">
        <f t="shared" si="29"/>
        <v>0.0210737496015988</v>
      </c>
      <c r="AE70" s="53">
        <f t="shared" si="30"/>
        <v>0.09115648103796026</v>
      </c>
      <c r="AF70" s="53">
        <f t="shared" si="31"/>
        <v>0.642571437513779</v>
      </c>
      <c r="AG70" s="53">
        <f t="shared" si="32"/>
        <v>0.005841558522852537</v>
      </c>
      <c r="AH70" s="1">
        <f t="shared" si="25"/>
        <v>29880</v>
      </c>
      <c r="AI70" s="1">
        <f t="shared" si="26"/>
        <v>112762.33724799413</v>
      </c>
    </row>
    <row r="71" spans="4:35" ht="12.75">
      <c r="D71" t="s">
        <v>108</v>
      </c>
      <c r="G71" s="69">
        <f>SUM(G7:G70)</f>
        <v>24.700000000000006</v>
      </c>
      <c r="I71" s="70">
        <f>AVERAGE(I22:I70)</f>
        <v>32.68646732870005</v>
      </c>
      <c r="J71" s="71">
        <f>SUM(J7:J70)</f>
        <v>0.8560959658296792</v>
      </c>
      <c r="N71" s="66">
        <f>SUM(N7:N70)</f>
        <v>471.28209650991346</v>
      </c>
      <c r="O71" s="67">
        <f>SUM(O7:O70)</f>
        <v>1225.3334509257747</v>
      </c>
      <c r="V71">
        <v>130</v>
      </c>
      <c r="W71" s="52">
        <f t="shared" si="20"/>
        <v>71931.17801047121</v>
      </c>
      <c r="X71" s="52">
        <f t="shared" si="21"/>
        <v>5855.265439790576</v>
      </c>
      <c r="Y71" s="52">
        <f t="shared" si="22"/>
        <v>26340.6</v>
      </c>
      <c r="Z71" s="3">
        <f t="shared" si="23"/>
        <v>178536.15999999997</v>
      </c>
      <c r="AA71" s="5">
        <f t="shared" si="24"/>
        <v>1623.056</v>
      </c>
      <c r="AB71" s="24">
        <f t="shared" si="27"/>
        <v>284286.2594502617</v>
      </c>
      <c r="AC71" s="53">
        <f t="shared" si="28"/>
        <v>0.253023759043325</v>
      </c>
      <c r="AD71" s="53">
        <f t="shared" si="29"/>
        <v>0.02059637159781549</v>
      </c>
      <c r="AE71" s="53">
        <f t="shared" si="30"/>
        <v>0.09265519920286021</v>
      </c>
      <c r="AF71" s="53">
        <f t="shared" si="31"/>
        <v>0.6280154388933328</v>
      </c>
      <c r="AG71" s="53">
        <f t="shared" si="32"/>
        <v>0.005709231262666662</v>
      </c>
      <c r="AH71" s="1">
        <f t="shared" si="25"/>
        <v>28730.76923076923</v>
      </c>
      <c r="AI71" s="1">
        <f t="shared" si="26"/>
        <v>119990.9536640715</v>
      </c>
    </row>
    <row r="72" spans="7:15" ht="38.25">
      <c r="G72" s="65" t="s">
        <v>117</v>
      </c>
      <c r="I72" s="65" t="s">
        <v>116</v>
      </c>
      <c r="J72" s="65" t="s">
        <v>114</v>
      </c>
      <c r="N72" s="68" t="s">
        <v>115</v>
      </c>
      <c r="O72" s="68" t="s">
        <v>105</v>
      </c>
    </row>
    <row r="73" ht="26.25" customHeight="1">
      <c r="G73" t="s">
        <v>118</v>
      </c>
    </row>
    <row r="74" ht="12.75">
      <c r="O74" s="24"/>
    </row>
    <row r="75" ht="12.75">
      <c r="O75" s="24"/>
    </row>
    <row r="76" ht="12.75">
      <c r="O76" s="24"/>
    </row>
  </sheetData>
  <sheetProtection/>
  <mergeCells count="8">
    <mergeCell ref="V31:W31"/>
    <mergeCell ref="D3:U4"/>
    <mergeCell ref="AA5:AB6"/>
    <mergeCell ref="V25:W25"/>
    <mergeCell ref="V26:W26"/>
    <mergeCell ref="V27:W27"/>
    <mergeCell ref="V28:W28"/>
    <mergeCell ref="V30:W30"/>
  </mergeCells>
  <conditionalFormatting sqref="AA7">
    <cfRule type="cellIs" priority="1" dxfId="12" operator="lessThan" stopIfTrue="1">
      <formula>$Z$7</formula>
    </cfRule>
  </conditionalFormatting>
  <conditionalFormatting sqref="L7:L70">
    <cfRule type="cellIs" priority="2" dxfId="0" operator="greaterThan" stopIfTrue="1">
      <formula>$M$12</formula>
    </cfRule>
  </conditionalFormatting>
  <dataValidations count="3">
    <dataValidation type="list" allowBlank="1" showInputMessage="1" showErrorMessage="1" sqref="W10">
      <formula1>$V$25:$V$31</formula1>
    </dataValidation>
    <dataValidation type="list" allowBlank="1" showInputMessage="1" showErrorMessage="1" sqref="W11">
      <formula1>$AA$23:$AB$23</formula1>
    </dataValidation>
    <dataValidation type="list" allowBlank="1" showInputMessage="1" showErrorMessage="1" sqref="W8">
      <formula1>$V$34:$V$42</formula1>
    </dataValidation>
  </dataValidation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B2:O87"/>
  <sheetViews>
    <sheetView zoomScalePageLayoutView="0" workbookViewId="0" topLeftCell="A1">
      <selection activeCell="C7" sqref="C7"/>
    </sheetView>
  </sheetViews>
  <sheetFormatPr defaultColWidth="9.140625" defaultRowHeight="12.75"/>
  <cols>
    <col min="2" max="2" width="16.421875" style="0" customWidth="1"/>
    <col min="3" max="3" width="10.7109375" style="0" customWidth="1"/>
    <col min="4" max="4" width="10.421875" style="0" customWidth="1"/>
    <col min="5" max="5" width="12.7109375" style="0" bestFit="1" customWidth="1"/>
    <col min="7" max="7" width="9.57421875" style="0" customWidth="1"/>
    <col min="8" max="8" width="11.28125" style="0" customWidth="1"/>
    <col min="15" max="15" width="12.421875" style="0" bestFit="1" customWidth="1"/>
  </cols>
  <sheetData>
    <row r="2" spans="2:10" ht="12.75">
      <c r="B2" s="224" t="s">
        <v>71</v>
      </c>
      <c r="C2" s="225"/>
      <c r="D2" s="225"/>
      <c r="E2" s="225"/>
      <c r="F2" s="225"/>
      <c r="G2" s="225"/>
      <c r="H2" s="225"/>
      <c r="I2" s="225"/>
      <c r="J2" s="226"/>
    </row>
    <row r="3" spans="2:10" ht="12.75">
      <c r="B3" s="227"/>
      <c r="C3" s="228"/>
      <c r="D3" s="228"/>
      <c r="E3" s="228"/>
      <c r="F3" s="228"/>
      <c r="G3" s="228"/>
      <c r="H3" s="228"/>
      <c r="I3" s="228"/>
      <c r="J3" s="229"/>
    </row>
    <row r="5" spans="2:8" ht="12.75">
      <c r="B5" t="s">
        <v>56</v>
      </c>
      <c r="C5" s="6">
        <v>10</v>
      </c>
      <c r="D5" t="s">
        <v>75</v>
      </c>
      <c r="E5" t="s">
        <v>89</v>
      </c>
      <c r="G5" s="213" t="s">
        <v>94</v>
      </c>
      <c r="H5" s="213"/>
    </row>
    <row r="6" spans="2:8" ht="12.75">
      <c r="B6" t="s">
        <v>29</v>
      </c>
      <c r="C6" s="22">
        <v>0</v>
      </c>
      <c r="D6" t="s">
        <v>76</v>
      </c>
      <c r="E6" t="s">
        <v>90</v>
      </c>
      <c r="F6" s="3">
        <f>C12*VLOOKUP(C10,B41:I47,7,0)/2000</f>
        <v>7370</v>
      </c>
      <c r="G6" s="213"/>
      <c r="H6" s="213"/>
    </row>
    <row r="7" spans="2:8" ht="12.75">
      <c r="B7" t="s">
        <v>34</v>
      </c>
      <c r="C7" s="6">
        <v>24</v>
      </c>
      <c r="D7" t="s">
        <v>77</v>
      </c>
      <c r="E7" s="8" t="s">
        <v>19</v>
      </c>
      <c r="F7" s="5">
        <f>SUM(F8:F12)</f>
        <v>24054.1519</v>
      </c>
      <c r="G7" s="5">
        <f>375*$C$9*(VLOOKUP($C$8,$B$51:$J$59,4,0))*0.83/$C$7</f>
        <v>77812.5</v>
      </c>
      <c r="H7">
        <f>IF(G7&lt;F7,"The resistance of the train exceeds the available Tractive Effort. Add more locomotives or reduce speed.",0)</f>
        <v>0</v>
      </c>
    </row>
    <row r="8" spans="2:9" ht="12.75">
      <c r="B8" t="s">
        <v>72</v>
      </c>
      <c r="C8" s="6" t="s">
        <v>42</v>
      </c>
      <c r="D8" t="s">
        <v>78</v>
      </c>
      <c r="E8" t="s">
        <v>91</v>
      </c>
      <c r="F8" s="5">
        <f>E34*F6+(VLOOKUP(C8,B50:J58,9,0)*C9*C34)</f>
        <v>2563.2000000000003</v>
      </c>
      <c r="G8" s="54">
        <f>F8/$F$7</f>
        <v>0.10655956654202388</v>
      </c>
      <c r="H8" s="5">
        <f>$F$7*$C$7/308</f>
        <v>1874.349498701299</v>
      </c>
      <c r="I8" t="s">
        <v>96</v>
      </c>
    </row>
    <row r="9" spans="2:9" ht="15.75">
      <c r="B9" t="s">
        <v>74</v>
      </c>
      <c r="C9" s="6">
        <v>2</v>
      </c>
      <c r="E9" t="s">
        <v>92</v>
      </c>
      <c r="F9" s="5">
        <f>F6*E35</f>
        <v>9581.0319</v>
      </c>
      <c r="G9" s="54">
        <f>F9/$F$7</f>
        <v>0.39831094190437866</v>
      </c>
      <c r="H9" s="59">
        <f>ROUNDUP(H8/VLOOKUP(C8,B50:J58,4,0),0)</f>
        <v>1</v>
      </c>
      <c r="I9" t="s">
        <v>97</v>
      </c>
    </row>
    <row r="10" spans="2:7" ht="12.75">
      <c r="B10" t="s">
        <v>57</v>
      </c>
      <c r="C10" s="6" t="s">
        <v>38</v>
      </c>
      <c r="E10" t="s">
        <v>93</v>
      </c>
      <c r="F10" s="5">
        <f>F6*E36</f>
        <v>7959.6</v>
      </c>
      <c r="G10" s="54">
        <f>F10/$F$7</f>
        <v>0.3309033730679983</v>
      </c>
    </row>
    <row r="11" spans="3:7" ht="12.75">
      <c r="C11" s="6" t="s">
        <v>81</v>
      </c>
      <c r="E11" t="s">
        <v>29</v>
      </c>
      <c r="F11" s="5">
        <f>$F$6*E37+C37*C9</f>
        <v>0</v>
      </c>
      <c r="G11" s="54">
        <f>F11/$F$7</f>
        <v>0</v>
      </c>
    </row>
    <row r="12" spans="2:7" ht="12.75">
      <c r="B12" t="s">
        <v>73</v>
      </c>
      <c r="C12" s="6">
        <v>55</v>
      </c>
      <c r="E12" t="s">
        <v>56</v>
      </c>
      <c r="F12" s="5">
        <f>$F$6*E38</f>
        <v>3950.32</v>
      </c>
      <c r="G12" s="54">
        <f>F12/$F$7</f>
        <v>0.16422611848559915</v>
      </c>
    </row>
    <row r="13" spans="3:7" ht="12.75">
      <c r="C13" s="57"/>
      <c r="G13" s="53"/>
    </row>
    <row r="18" ht="12.75">
      <c r="C18" s="58"/>
    </row>
    <row r="19" ht="12.75">
      <c r="C19" s="58"/>
    </row>
    <row r="20" ht="12.75">
      <c r="C20" s="58"/>
    </row>
    <row r="21" ht="12.75">
      <c r="C21" s="58"/>
    </row>
    <row r="22" ht="12.75">
      <c r="C22" s="58"/>
    </row>
    <row r="23" ht="12.75">
      <c r="C23" s="58"/>
    </row>
    <row r="24" ht="12.75">
      <c r="C24" s="58"/>
    </row>
    <row r="25" ht="12.75">
      <c r="C25" s="58"/>
    </row>
    <row r="26" ht="12.75">
      <c r="C26" s="58"/>
    </row>
    <row r="27" ht="12.75">
      <c r="C27" s="58"/>
    </row>
    <row r="28" ht="12.75">
      <c r="C28" s="58"/>
    </row>
    <row r="29" ht="12.75">
      <c r="C29" s="58"/>
    </row>
    <row r="30" ht="12.75">
      <c r="C30" s="58"/>
    </row>
    <row r="31" ht="12.75">
      <c r="C31" s="58"/>
    </row>
    <row r="32" spans="3:5" ht="12.75">
      <c r="C32" s="56" t="s">
        <v>72</v>
      </c>
      <c r="E32" t="s">
        <v>88</v>
      </c>
    </row>
    <row r="33" spans="2:5" ht="12.75">
      <c r="B33" t="s">
        <v>19</v>
      </c>
      <c r="C33" s="52">
        <f>SUM(C34:C38)</f>
        <v>3.697821989528796</v>
      </c>
      <c r="D33" t="s">
        <v>79</v>
      </c>
      <c r="E33" s="52">
        <f>SUM(E34:E38)</f>
        <v>3.216899850746269</v>
      </c>
    </row>
    <row r="34" spans="2:5" ht="12.75">
      <c r="B34" t="s">
        <v>68</v>
      </c>
      <c r="C34" s="52">
        <f>(VLOOKUP($C$8,$B$50:$J$58,7,0)*VLOOKUP($C$8,$B$50:$J$58,5,0)*$C$7*$C$7)/(VLOOKUP($C$8,$B$50:$J$58,9,0)/VLOOKUP($C$8,$B$50:$J$58,8,0))/VLOOKUP($C$8,$B$50:$J$58,8,0)</f>
        <v>0.9047120418848168</v>
      </c>
      <c r="D34" t="s">
        <v>79</v>
      </c>
      <c r="E34" s="52">
        <f>(VLOOKUP($C$10,$B$41:$I$47,4,0)*VLOOKUP($C$10,$B$41:$I$47,5,0)*$C$7*$C$7)/(((VLOOKUP($C$10,$B$41:$I$47,7,0)/2000))/((VLOOKUP($C$10,$B$41:$I$47,8,0))))/VLOOKUP($C$10,$B$41:$I$47,8,0)</f>
        <v>0.3008955223880598</v>
      </c>
    </row>
    <row r="35" spans="2:5" ht="12.75">
      <c r="B35" t="s">
        <v>66</v>
      </c>
      <c r="C35" s="52">
        <f>1.3+0.29/((VLOOKUP($C$8,$B$50:$J$58,9,0))/VLOOKUP($C$8,$B$50:$J$58,8,0))</f>
        <v>1.3091099476439791</v>
      </c>
      <c r="D35" t="s">
        <v>79</v>
      </c>
      <c r="E35" s="52">
        <f>1.3+0.29/((VLOOKUP($C$10,$B$41:$I$47,7,0))/VLOOKUP($C$10,$B$41:$I$47,8,0))</f>
        <v>1.300004328358209</v>
      </c>
    </row>
    <row r="36" spans="2:5" ht="12.75">
      <c r="B36" t="s">
        <v>67</v>
      </c>
      <c r="C36" s="52">
        <f>(VLOOKUP($C$8,$B$50:$J$58,6,0)*C7)</f>
        <v>0.72</v>
      </c>
      <c r="D36" t="s">
        <v>79</v>
      </c>
      <c r="E36" s="52">
        <f>(VLOOKUP($C$10,$B$41:$I$47,3,0)*$C$7)</f>
        <v>1.08</v>
      </c>
    </row>
    <row r="37" spans="2:5" ht="12.75">
      <c r="B37" t="s">
        <v>29</v>
      </c>
      <c r="C37" s="3">
        <f>20*$C$6*(VLOOKUP($C$8,$B$50:$J$58,9,0))</f>
        <v>0</v>
      </c>
      <c r="E37" s="3">
        <f>20*$C$6*(VLOOKUP($C$10,$B$40:$I$47,7,0)/2000)</f>
        <v>0</v>
      </c>
    </row>
    <row r="38" spans="2:5" ht="12.75">
      <c r="B38" t="s">
        <v>56</v>
      </c>
      <c r="C38" s="26">
        <f>0.8*$C$5*(VLOOKUP($C$8,$B$50:$J$58,9,0))/2000</f>
        <v>0.764</v>
      </c>
      <c r="E38" s="26">
        <f>0.8*$C$5*((VLOOKUP($C$10,$B$41:$I$47,7,0))/2000/2000)</f>
        <v>0.536</v>
      </c>
    </row>
    <row r="39" spans="7:8" ht="12.75">
      <c r="G39" t="s">
        <v>80</v>
      </c>
      <c r="H39" t="s">
        <v>81</v>
      </c>
    </row>
    <row r="40" spans="2:9" ht="12.75">
      <c r="B40" s="3" t="s">
        <v>57</v>
      </c>
      <c r="C40" s="3"/>
      <c r="D40" s="3" t="s">
        <v>62</v>
      </c>
      <c r="E40" s="3" t="s">
        <v>63</v>
      </c>
      <c r="F40" s="33" t="s">
        <v>52</v>
      </c>
      <c r="G40" s="34" t="s">
        <v>58</v>
      </c>
      <c r="H40" s="35" t="s">
        <v>59</v>
      </c>
      <c r="I40" s="3" t="s">
        <v>13</v>
      </c>
    </row>
    <row r="41" spans="2:9" ht="12.75">
      <c r="B41" s="205" t="s">
        <v>36</v>
      </c>
      <c r="C41" s="200"/>
      <c r="D41" s="4">
        <v>0.045</v>
      </c>
      <c r="E41" s="4">
        <v>0.0005</v>
      </c>
      <c r="F41" s="4">
        <v>100</v>
      </c>
      <c r="G41" s="36">
        <v>45000</v>
      </c>
      <c r="H41" s="36">
        <v>180000</v>
      </c>
      <c r="I41" s="4">
        <v>4</v>
      </c>
    </row>
    <row r="42" spans="2:9" ht="12.75">
      <c r="B42" s="205" t="s">
        <v>38</v>
      </c>
      <c r="C42" s="200"/>
      <c r="D42" s="4">
        <v>0.045</v>
      </c>
      <c r="E42" s="4">
        <v>0.0005</v>
      </c>
      <c r="F42" s="4">
        <v>140</v>
      </c>
      <c r="G42" s="36">
        <v>67000</v>
      </c>
      <c r="H42" s="36">
        <v>268000</v>
      </c>
      <c r="I42" s="4">
        <v>4</v>
      </c>
    </row>
    <row r="43" spans="2:9" ht="12.75">
      <c r="B43" s="205" t="s">
        <v>60</v>
      </c>
      <c r="C43" s="200"/>
      <c r="D43" s="4">
        <v>0.045</v>
      </c>
      <c r="E43" s="4">
        <v>0.0005</v>
      </c>
      <c r="F43" s="4">
        <v>140</v>
      </c>
      <c r="G43" s="36">
        <v>71000</v>
      </c>
      <c r="H43" s="36">
        <v>286000</v>
      </c>
      <c r="I43" s="4">
        <v>4</v>
      </c>
    </row>
    <row r="44" spans="2:9" ht="12.75">
      <c r="B44" s="205" t="s">
        <v>37</v>
      </c>
      <c r="C44" s="200"/>
      <c r="D44" s="4">
        <v>0.045</v>
      </c>
      <c r="E44" s="4">
        <v>0.0005</v>
      </c>
      <c r="F44" s="4">
        <v>170</v>
      </c>
      <c r="G44" s="36">
        <v>50000</v>
      </c>
      <c r="H44" s="36">
        <v>180000</v>
      </c>
      <c r="I44" s="4">
        <v>4</v>
      </c>
    </row>
    <row r="45" spans="2:9" ht="12.75">
      <c r="B45" s="3" t="s">
        <v>20</v>
      </c>
      <c r="C45" s="3"/>
      <c r="D45" s="4">
        <v>0.045</v>
      </c>
      <c r="E45" s="4">
        <v>0.0003</v>
      </c>
      <c r="F45" s="4">
        <v>120</v>
      </c>
      <c r="G45" s="36">
        <v>50000</v>
      </c>
      <c r="H45" s="36">
        <v>60000</v>
      </c>
      <c r="I45" s="4">
        <v>4</v>
      </c>
    </row>
    <row r="46" spans="2:9" ht="12.75">
      <c r="B46" s="206" t="s">
        <v>10</v>
      </c>
      <c r="C46" s="204"/>
      <c r="D46" s="4">
        <v>0.045</v>
      </c>
      <c r="E46" s="4">
        <v>0.0007</v>
      </c>
      <c r="F46" s="4">
        <v>80</v>
      </c>
      <c r="G46" s="36">
        <v>35000</v>
      </c>
      <c r="H46" s="36">
        <v>80000</v>
      </c>
      <c r="I46" s="4">
        <v>4</v>
      </c>
    </row>
    <row r="47" spans="2:9" ht="12.75">
      <c r="B47" s="206" t="s">
        <v>11</v>
      </c>
      <c r="C47" s="204"/>
      <c r="D47" s="4">
        <v>0.045</v>
      </c>
      <c r="E47" s="4">
        <v>0.0011</v>
      </c>
      <c r="F47" s="4">
        <v>90</v>
      </c>
      <c r="G47" s="36">
        <v>35000</v>
      </c>
      <c r="H47" s="36">
        <v>70000</v>
      </c>
      <c r="I47" s="4">
        <v>4</v>
      </c>
    </row>
    <row r="48" spans="7:8" ht="12.75">
      <c r="G48" s="1"/>
      <c r="H48" s="1"/>
    </row>
    <row r="49" spans="2:10" ht="12.75">
      <c r="B49" s="3" t="s">
        <v>50</v>
      </c>
      <c r="C49" s="3" t="s">
        <v>48</v>
      </c>
      <c r="D49" s="3" t="s">
        <v>49</v>
      </c>
      <c r="E49" s="3" t="s">
        <v>51</v>
      </c>
      <c r="F49" s="33" t="s">
        <v>52</v>
      </c>
      <c r="G49" s="3" t="s">
        <v>53</v>
      </c>
      <c r="H49" s="3" t="s">
        <v>54</v>
      </c>
      <c r="I49" s="3" t="s">
        <v>13</v>
      </c>
      <c r="J49" s="3" t="s">
        <v>0</v>
      </c>
    </row>
    <row r="50" spans="2:10" ht="12.75">
      <c r="B50" s="3" t="s">
        <v>39</v>
      </c>
      <c r="C50" s="4">
        <v>115</v>
      </c>
      <c r="D50" s="4">
        <v>3.5</v>
      </c>
      <c r="E50" s="4">
        <v>1750</v>
      </c>
      <c r="F50" s="4">
        <v>120</v>
      </c>
      <c r="G50" s="4">
        <v>0.03</v>
      </c>
      <c r="H50" s="4">
        <v>0.0025</v>
      </c>
      <c r="I50" s="4">
        <v>4</v>
      </c>
      <c r="J50" s="4">
        <v>140</v>
      </c>
    </row>
    <row r="51" spans="2:10" ht="12.75">
      <c r="B51" s="3" t="s">
        <v>40</v>
      </c>
      <c r="C51" s="4">
        <v>135</v>
      </c>
      <c r="D51" s="4">
        <v>4.2</v>
      </c>
      <c r="E51" s="4">
        <v>2300</v>
      </c>
      <c r="F51" s="4">
        <v>120</v>
      </c>
      <c r="G51" s="4">
        <v>0.03</v>
      </c>
      <c r="H51" s="4">
        <v>0.0025</v>
      </c>
      <c r="I51" s="4">
        <v>4</v>
      </c>
      <c r="J51" s="4">
        <v>160</v>
      </c>
    </row>
    <row r="52" spans="2:10" ht="12.75">
      <c r="B52" s="3" t="s">
        <v>41</v>
      </c>
      <c r="C52" s="4">
        <v>167.7</v>
      </c>
      <c r="D52" s="4">
        <v>5.5</v>
      </c>
      <c r="E52" s="4">
        <v>3000</v>
      </c>
      <c r="F52" s="4">
        <v>120</v>
      </c>
      <c r="G52" s="4">
        <v>0.03</v>
      </c>
      <c r="H52" s="4">
        <v>0.0025</v>
      </c>
      <c r="I52" s="4">
        <v>4</v>
      </c>
      <c r="J52" s="4">
        <v>180</v>
      </c>
    </row>
    <row r="53" spans="2:10" ht="12.75">
      <c r="B53" s="3" t="s">
        <v>42</v>
      </c>
      <c r="C53" s="4">
        <v>167.7</v>
      </c>
      <c r="D53" s="4">
        <v>5.5</v>
      </c>
      <c r="E53" s="4">
        <v>3000</v>
      </c>
      <c r="F53" s="4">
        <v>120</v>
      </c>
      <c r="G53" s="4">
        <v>0.03</v>
      </c>
      <c r="H53" s="4">
        <v>0.0025</v>
      </c>
      <c r="I53" s="4">
        <v>6</v>
      </c>
      <c r="J53" s="4">
        <v>191</v>
      </c>
    </row>
    <row r="54" spans="2:10" ht="12.75">
      <c r="B54" s="3" t="s">
        <v>43</v>
      </c>
      <c r="C54" s="4">
        <v>194</v>
      </c>
      <c r="D54" s="4">
        <v>6</v>
      </c>
      <c r="E54" s="4">
        <v>3600</v>
      </c>
      <c r="F54" s="4">
        <v>120</v>
      </c>
      <c r="G54" s="4">
        <v>0.03</v>
      </c>
      <c r="H54" s="4">
        <v>0.0025</v>
      </c>
      <c r="I54" s="4">
        <v>6</v>
      </c>
      <c r="J54" s="4">
        <v>200</v>
      </c>
    </row>
    <row r="55" spans="2:10" ht="12.75">
      <c r="B55" s="3" t="s">
        <v>44</v>
      </c>
      <c r="C55" s="4">
        <v>194</v>
      </c>
      <c r="D55" s="4">
        <v>6</v>
      </c>
      <c r="E55" s="4">
        <v>3600</v>
      </c>
      <c r="F55" s="4">
        <v>120</v>
      </c>
      <c r="G55" s="4">
        <v>0.03</v>
      </c>
      <c r="H55" s="4">
        <v>0.0025</v>
      </c>
      <c r="I55" s="4">
        <v>6</v>
      </c>
      <c r="J55" s="4">
        <v>200</v>
      </c>
    </row>
    <row r="56" spans="2:10" ht="12.75">
      <c r="B56" s="3" t="s">
        <v>45</v>
      </c>
      <c r="C56" s="4">
        <v>193.8</v>
      </c>
      <c r="D56" s="4">
        <v>6.3</v>
      </c>
      <c r="E56" s="4">
        <v>3800</v>
      </c>
      <c r="F56" s="4">
        <v>120</v>
      </c>
      <c r="G56" s="4">
        <v>0.03</v>
      </c>
      <c r="H56" s="4">
        <v>0.0025</v>
      </c>
      <c r="I56" s="4">
        <v>6</v>
      </c>
      <c r="J56" s="4">
        <v>220</v>
      </c>
    </row>
    <row r="57" spans="2:10" ht="12.75">
      <c r="B57" s="3" t="s">
        <v>46</v>
      </c>
      <c r="C57" s="4">
        <v>204</v>
      </c>
      <c r="D57" s="4">
        <v>6.5</v>
      </c>
      <c r="E57" s="4">
        <v>4000</v>
      </c>
      <c r="F57" s="4">
        <v>120</v>
      </c>
      <c r="G57" s="4">
        <v>0.03</v>
      </c>
      <c r="H57" s="4">
        <v>0.0025</v>
      </c>
      <c r="I57" s="4">
        <v>6</v>
      </c>
      <c r="J57" s="4">
        <v>230</v>
      </c>
    </row>
    <row r="58" spans="2:10" ht="12.75">
      <c r="B58" s="3" t="s">
        <v>47</v>
      </c>
      <c r="C58" s="4">
        <v>275</v>
      </c>
      <c r="D58" s="4">
        <v>10</v>
      </c>
      <c r="E58" s="4">
        <v>6000</v>
      </c>
      <c r="F58" s="4">
        <v>120</v>
      </c>
      <c r="G58" s="4">
        <v>0.03</v>
      </c>
      <c r="H58" s="4">
        <v>0.0025</v>
      </c>
      <c r="I58" s="4">
        <v>6</v>
      </c>
      <c r="J58" s="4">
        <v>240</v>
      </c>
    </row>
    <row r="59" spans="3:9" ht="12.75">
      <c r="C59" t="s">
        <v>82</v>
      </c>
      <c r="I59" t="s">
        <v>86</v>
      </c>
    </row>
    <row r="60" spans="2:15" ht="12.75">
      <c r="B60" s="55" t="s">
        <v>34</v>
      </c>
      <c r="C60" t="s">
        <v>83</v>
      </c>
      <c r="D60" t="s">
        <v>84</v>
      </c>
      <c r="E60" t="s">
        <v>85</v>
      </c>
      <c r="F60" t="s">
        <v>29</v>
      </c>
      <c r="G60" t="s">
        <v>56</v>
      </c>
      <c r="H60" t="s">
        <v>95</v>
      </c>
      <c r="I60" t="s">
        <v>87</v>
      </c>
      <c r="J60" t="s">
        <v>84</v>
      </c>
      <c r="K60" t="s">
        <v>85</v>
      </c>
      <c r="L60" t="s">
        <v>29</v>
      </c>
      <c r="M60" t="s">
        <v>56</v>
      </c>
      <c r="N60" t="s">
        <v>15</v>
      </c>
      <c r="O60" t="s">
        <v>51</v>
      </c>
    </row>
    <row r="61" spans="2:15" ht="12.75">
      <c r="B61">
        <v>4</v>
      </c>
      <c r="C61" s="52">
        <f>$C$9*((VLOOKUP($C$8,$B$50:$J$58,7,0)*VLOOKUP($C$8,$B$50:$J$58,5,0)*B61*B61)/(VLOOKUP($C$8,$B$50:$J$58,9,0)/VLOOKUP($C$8,$B$50:$J$58,8,0))/VLOOKUP($C$8,$B$50:$J$58,8,0))+((VLOOKUP($C$10,$B$41:$I$47,4,0)*VLOOKUP($C$10,$B$41:$I$47,5,0)*B61*B61)/(((VLOOKUP($C$10,$B$41:$I$47,7,0)/2000))/((VLOOKUP($C$10,$B$41:$I$47,8,0))))/VLOOKUP($C$10,$B$41:$I$47,8,0))*$F$6</f>
        <v>61.65026178010472</v>
      </c>
      <c r="D61" s="52">
        <f>$C$9*(1.3+0.29/((VLOOKUP($C$8,$B$50:$J$58,9,0))/VLOOKUP($C$8,$B$50:$J$58,8,0)))+(1.3+0.29/((VLOOKUP($C$10,$B$41:$I$47,7,0))/VLOOKUP($C$10,$B$41:$I$47,8,0)))*$F$6</f>
        <v>9583.650119895288</v>
      </c>
      <c r="E61" s="52">
        <f aca="true" t="shared" si="0" ref="E61:E87">$C$9*(VLOOKUP($C$8,$B$50:$J$58,6,0)*B61)+(VLOOKUP($C$10,$B$41:$I$47,3,0)*B61)*$F$6</f>
        <v>1326.84</v>
      </c>
      <c r="F61" s="3">
        <f>$C$9*(20*$C$6*(VLOOKUP($C$8,$B$50:$J$58,9,0)))+(20*$C$6*(VLOOKUP($C$10,$B$40:$I$47,7,0)/2000))*$F$6</f>
        <v>0</v>
      </c>
      <c r="G61" s="5">
        <f>$C$9*(0.8*$C$5*(VLOOKUP($C$8,$B$50:$J$58,9,0))/2000)+(0.8*$C$5*((VLOOKUP($C$10,$B$41:$I$47,7,0))/2000/2000))*$F$6</f>
        <v>3951.848</v>
      </c>
      <c r="H61" s="24">
        <f>SUM(C61:G61)</f>
        <v>14923.988381675394</v>
      </c>
      <c r="I61" s="53">
        <f aca="true" t="shared" si="1" ref="I61:I87">C61/H61</f>
        <v>0.004130950802387569</v>
      </c>
      <c r="J61" s="53">
        <f>D61/H61</f>
        <v>0.6421641370119728</v>
      </c>
      <c r="K61" s="53">
        <f>E61/H61</f>
        <v>0.08890652860794082</v>
      </c>
      <c r="L61" s="53">
        <f>F61/H61</f>
        <v>0</v>
      </c>
      <c r="M61" s="53">
        <f>G61/H61</f>
        <v>0.2647983835776987</v>
      </c>
      <c r="N61">
        <f aca="true" t="shared" si="2" ref="N61:N87">(375*$C$9*(VLOOKUP($C$8,$B$51:$J$59,4,0))*0.83)/B61</f>
        <v>466875</v>
      </c>
      <c r="O61" s="1">
        <f aca="true" t="shared" si="3" ref="O61:O87">H61*B61/308</f>
        <v>193.81803093084926</v>
      </c>
    </row>
    <row r="62" spans="2:15" ht="12.75">
      <c r="B62">
        <v>5</v>
      </c>
      <c r="C62" s="52">
        <f aca="true" t="shared" si="4" ref="C62:C87">$C$9*((VLOOKUP($C$8,$B$50:$J$58,7,0)*VLOOKUP($C$8,$B$50:$J$58,5,0)*B62*B62)/(VLOOKUP($C$8,$B$50:$J$58,9,0)/VLOOKUP($C$8,$B$50:$J$58,8,0))/VLOOKUP($C$8,$B$50:$J$58,8,0))+((VLOOKUP($C$10,$B$41:$I$47,4,0)*VLOOKUP($C$10,$B$41:$I$47,5,0)*B62*B62)/(((VLOOKUP($C$10,$B$41:$I$47,7,0)/2000))/((VLOOKUP($C$10,$B$41:$I$47,8,0))))/VLOOKUP($C$10,$B$41:$I$47,8,0))*$F$6</f>
        <v>96.32853403141362</v>
      </c>
      <c r="D62" s="52">
        <f aca="true" t="shared" si="5" ref="D62:D87">$C$9*(1.3+0.29/((VLOOKUP($C$8,$B$50:$J$58,9,0))/VLOOKUP($C$8,$B$50:$J$58,8,0)))+(1.3+0.29/((VLOOKUP($C$10,$B$41:$I$47,7,0))/VLOOKUP($C$10,$B$41:$I$47,8,0)))*$F$6</f>
        <v>9583.650119895288</v>
      </c>
      <c r="E62" s="52">
        <f t="shared" si="0"/>
        <v>1658.5499999999997</v>
      </c>
      <c r="F62" s="3">
        <f aca="true" t="shared" si="6" ref="F62:F87">$C$9*(20*$C$6*(VLOOKUP($C$8,$B$50:$J$58,9,0)))+(20*$C$6*(VLOOKUP($C$10,$B$40:$I$47,7,0)/2000))*$F$6</f>
        <v>0</v>
      </c>
      <c r="G62" s="5">
        <f aca="true" t="shared" si="7" ref="G62:G87">$C$9*(0.8*$C$5*(VLOOKUP($C$8,$B$50:$J$58,9,0))/2000)+(0.8*$C$5*((VLOOKUP($C$10,$B$41:$I$47,7,0))/2000/2000))*$F$6</f>
        <v>3951.848</v>
      </c>
      <c r="H62" s="24">
        <f aca="true" t="shared" si="8" ref="H62:H87">SUM(C62:G62)</f>
        <v>15290.376653926702</v>
      </c>
      <c r="I62" s="53">
        <f t="shared" si="1"/>
        <v>0.006299945136189671</v>
      </c>
      <c r="J62" s="53">
        <f aca="true" t="shared" si="9" ref="J62:J87">D62/H62</f>
        <v>0.6267765887529084</v>
      </c>
      <c r="K62" s="53">
        <f aca="true" t="shared" si="10" ref="K62:K87">E62/H62</f>
        <v>0.10847018602213894</v>
      </c>
      <c r="L62" s="53">
        <f aca="true" t="shared" si="11" ref="L62:L87">F62/H62</f>
        <v>0</v>
      </c>
      <c r="M62" s="53">
        <f aca="true" t="shared" si="12" ref="M62:M87">G62/H62</f>
        <v>0.25845328008876295</v>
      </c>
      <c r="N62" s="1">
        <f t="shared" si="2"/>
        <v>373500</v>
      </c>
      <c r="O62" s="1">
        <f t="shared" si="3"/>
        <v>248.22040022608283</v>
      </c>
    </row>
    <row r="63" spans="2:15" ht="12.75">
      <c r="B63">
        <v>10</v>
      </c>
      <c r="C63" s="52">
        <f t="shared" si="4"/>
        <v>385.3141361256545</v>
      </c>
      <c r="D63" s="52">
        <f t="shared" si="5"/>
        <v>9583.650119895288</v>
      </c>
      <c r="E63" s="52">
        <f t="shared" si="0"/>
        <v>3317.0999999999995</v>
      </c>
      <c r="F63" s="3">
        <f t="shared" si="6"/>
        <v>0</v>
      </c>
      <c r="G63" s="5">
        <f t="shared" si="7"/>
        <v>3951.848</v>
      </c>
      <c r="H63" s="24">
        <f t="shared" si="8"/>
        <v>17237.912256020943</v>
      </c>
      <c r="I63" s="53">
        <f t="shared" si="1"/>
        <v>0.022352714783721566</v>
      </c>
      <c r="J63" s="53">
        <f t="shared" si="9"/>
        <v>0.5559635051830516</v>
      </c>
      <c r="K63" s="53">
        <f t="shared" si="10"/>
        <v>0.19243049568496245</v>
      </c>
      <c r="L63" s="53">
        <f t="shared" si="11"/>
        <v>0</v>
      </c>
      <c r="M63" s="53">
        <f t="shared" si="12"/>
        <v>0.22925328434826434</v>
      </c>
      <c r="N63" s="1">
        <f t="shared" si="2"/>
        <v>186750</v>
      </c>
      <c r="O63" s="1">
        <f t="shared" si="3"/>
        <v>559.6724758448357</v>
      </c>
    </row>
    <row r="64" spans="2:15" ht="12.75">
      <c r="B64">
        <v>15</v>
      </c>
      <c r="C64" s="52">
        <f t="shared" si="4"/>
        <v>866.9568062827225</v>
      </c>
      <c r="D64" s="52">
        <f t="shared" si="5"/>
        <v>9583.650119895288</v>
      </c>
      <c r="E64" s="52">
        <f t="shared" si="0"/>
        <v>4975.649999999999</v>
      </c>
      <c r="F64" s="3">
        <f t="shared" si="6"/>
        <v>0</v>
      </c>
      <c r="G64" s="5">
        <f t="shared" si="7"/>
        <v>3951.848</v>
      </c>
      <c r="H64" s="24">
        <f t="shared" si="8"/>
        <v>19378.104926178006</v>
      </c>
      <c r="I64" s="53">
        <f t="shared" si="1"/>
        <v>0.04473898813044123</v>
      </c>
      <c r="J64" s="53">
        <f t="shared" si="9"/>
        <v>0.4945607507238065</v>
      </c>
      <c r="K64" s="53">
        <f t="shared" si="10"/>
        <v>0.25676659399642127</v>
      </c>
      <c r="L64" s="53">
        <f t="shared" si="11"/>
        <v>0</v>
      </c>
      <c r="M64" s="53">
        <f t="shared" si="12"/>
        <v>0.20393366714933117</v>
      </c>
      <c r="N64" s="1">
        <f t="shared" si="2"/>
        <v>124500</v>
      </c>
      <c r="O64" s="1">
        <f t="shared" si="3"/>
        <v>943.738876274903</v>
      </c>
    </row>
    <row r="65" spans="2:15" ht="12.75">
      <c r="B65">
        <v>20</v>
      </c>
      <c r="C65" s="52">
        <f t="shared" si="4"/>
        <v>1541.256544502618</v>
      </c>
      <c r="D65" s="52">
        <f t="shared" si="5"/>
        <v>9583.650119895288</v>
      </c>
      <c r="E65" s="52">
        <f t="shared" si="0"/>
        <v>6634.199999999999</v>
      </c>
      <c r="F65" s="3">
        <f t="shared" si="6"/>
        <v>0</v>
      </c>
      <c r="G65" s="5">
        <f t="shared" si="7"/>
        <v>3951.848</v>
      </c>
      <c r="H65" s="24">
        <f t="shared" si="8"/>
        <v>21710.954664397905</v>
      </c>
      <c r="I65" s="53">
        <f t="shared" si="1"/>
        <v>0.07098980990596439</v>
      </c>
      <c r="J65" s="53">
        <f t="shared" si="9"/>
        <v>0.44142002357965243</v>
      </c>
      <c r="K65" s="53">
        <f t="shared" si="10"/>
        <v>0.30556924384715817</v>
      </c>
      <c r="L65" s="53">
        <f t="shared" si="11"/>
        <v>0</v>
      </c>
      <c r="M65" s="53">
        <f t="shared" si="12"/>
        <v>0.18202092266722505</v>
      </c>
      <c r="N65" s="1">
        <f t="shared" si="2"/>
        <v>93375</v>
      </c>
      <c r="O65" s="1">
        <f t="shared" si="3"/>
        <v>1409.8022509349287</v>
      </c>
    </row>
    <row r="66" spans="2:15" ht="12.75">
      <c r="B66">
        <v>25</v>
      </c>
      <c r="C66" s="52">
        <f t="shared" si="4"/>
        <v>2408.2133507853405</v>
      </c>
      <c r="D66" s="52">
        <f t="shared" si="5"/>
        <v>9583.650119895288</v>
      </c>
      <c r="E66" s="52">
        <f t="shared" si="0"/>
        <v>8292.75</v>
      </c>
      <c r="F66" s="3">
        <f t="shared" si="6"/>
        <v>0</v>
      </c>
      <c r="G66" s="5">
        <f t="shared" si="7"/>
        <v>3951.848</v>
      </c>
      <c r="H66" s="24">
        <f t="shared" si="8"/>
        <v>24236.46147068063</v>
      </c>
      <c r="I66" s="53">
        <f t="shared" si="1"/>
        <v>0.09936324053321925</v>
      </c>
      <c r="J66" s="53">
        <f t="shared" si="9"/>
        <v>0.39542282735822787</v>
      </c>
      <c r="K66" s="53">
        <f t="shared" si="10"/>
        <v>0.34216009668044645</v>
      </c>
      <c r="L66" s="53">
        <f t="shared" si="11"/>
        <v>0</v>
      </c>
      <c r="M66" s="53">
        <f t="shared" si="12"/>
        <v>0.16305383542810634</v>
      </c>
      <c r="N66" s="1">
        <f t="shared" si="2"/>
        <v>74700</v>
      </c>
      <c r="O66" s="1">
        <f t="shared" si="3"/>
        <v>1967.2452492435577</v>
      </c>
    </row>
    <row r="67" spans="2:15" ht="12.75">
      <c r="B67">
        <v>30</v>
      </c>
      <c r="C67" s="52">
        <f t="shared" si="4"/>
        <v>3467.82722513089</v>
      </c>
      <c r="D67" s="52">
        <f t="shared" si="5"/>
        <v>9583.650119895288</v>
      </c>
      <c r="E67" s="52">
        <f t="shared" si="0"/>
        <v>9951.299999999997</v>
      </c>
      <c r="F67" s="3">
        <f t="shared" si="6"/>
        <v>0</v>
      </c>
      <c r="G67" s="5">
        <f t="shared" si="7"/>
        <v>3951.848</v>
      </c>
      <c r="H67" s="24">
        <f t="shared" si="8"/>
        <v>26954.625345026172</v>
      </c>
      <c r="I67" s="53">
        <f t="shared" si="1"/>
        <v>0.1286542543530769</v>
      </c>
      <c r="J67" s="53">
        <f t="shared" si="9"/>
        <v>0.3555475172524971</v>
      </c>
      <c r="K67" s="53">
        <f t="shared" si="10"/>
        <v>0.36918710138318694</v>
      </c>
      <c r="L67" s="53">
        <f t="shared" si="11"/>
        <v>0</v>
      </c>
      <c r="M67" s="53">
        <f t="shared" si="12"/>
        <v>0.1466111270112392</v>
      </c>
      <c r="N67" s="1">
        <f t="shared" si="2"/>
        <v>62250</v>
      </c>
      <c r="O67" s="1">
        <f t="shared" si="3"/>
        <v>2625.4505206194326</v>
      </c>
    </row>
    <row r="68" spans="2:15" ht="12.75">
      <c r="B68">
        <v>35</v>
      </c>
      <c r="C68" s="52">
        <f t="shared" si="4"/>
        <v>4720.098167539267</v>
      </c>
      <c r="D68" s="52">
        <f t="shared" si="5"/>
        <v>9583.650119895288</v>
      </c>
      <c r="E68" s="52">
        <f t="shared" si="0"/>
        <v>11609.85</v>
      </c>
      <c r="F68" s="3">
        <f t="shared" si="6"/>
        <v>0</v>
      </c>
      <c r="G68" s="5">
        <f t="shared" si="7"/>
        <v>3951.848</v>
      </c>
      <c r="H68" s="24">
        <f t="shared" si="8"/>
        <v>29865.446287434555</v>
      </c>
      <c r="I68" s="53">
        <f t="shared" si="1"/>
        <v>0.15804545902684797</v>
      </c>
      <c r="J68" s="53">
        <f t="shared" si="9"/>
        <v>0.3208942544390327</v>
      </c>
      <c r="K68" s="53">
        <f t="shared" si="10"/>
        <v>0.388738540461211</v>
      </c>
      <c r="L68" s="53">
        <f t="shared" si="11"/>
        <v>0</v>
      </c>
      <c r="M68" s="53">
        <f t="shared" si="12"/>
        <v>0.1323217460729084</v>
      </c>
      <c r="N68" s="1">
        <f t="shared" si="2"/>
        <v>53357.142857142855</v>
      </c>
      <c r="O68" s="1">
        <f t="shared" si="3"/>
        <v>3393.8007144811995</v>
      </c>
    </row>
    <row r="69" spans="2:15" ht="12.75">
      <c r="B69">
        <v>40</v>
      </c>
      <c r="C69" s="52">
        <f t="shared" si="4"/>
        <v>6165.026178010472</v>
      </c>
      <c r="D69" s="52">
        <f t="shared" si="5"/>
        <v>9583.650119895288</v>
      </c>
      <c r="E69" s="52">
        <f t="shared" si="0"/>
        <v>13268.399999999998</v>
      </c>
      <c r="F69" s="3">
        <f t="shared" si="6"/>
        <v>0</v>
      </c>
      <c r="G69" s="5">
        <f t="shared" si="7"/>
        <v>3951.848</v>
      </c>
      <c r="H69" s="24">
        <f t="shared" si="8"/>
        <v>32968.92429790576</v>
      </c>
      <c r="I69" s="53">
        <f t="shared" si="1"/>
        <v>0.18699506609022376</v>
      </c>
      <c r="J69" s="53">
        <f t="shared" si="9"/>
        <v>0.2906873767945185</v>
      </c>
      <c r="K69" s="53">
        <f t="shared" si="10"/>
        <v>0.4024517111964987</v>
      </c>
      <c r="L69" s="53">
        <f t="shared" si="11"/>
        <v>0</v>
      </c>
      <c r="M69" s="53">
        <f t="shared" si="12"/>
        <v>0.11986584591875896</v>
      </c>
      <c r="N69" s="1">
        <f t="shared" si="2"/>
        <v>46687.5</v>
      </c>
      <c r="O69" s="1">
        <f t="shared" si="3"/>
        <v>4281.678480247501</v>
      </c>
    </row>
    <row r="70" spans="2:15" ht="12.75">
      <c r="B70">
        <v>45</v>
      </c>
      <c r="C70" s="52">
        <f t="shared" si="4"/>
        <v>7802.611256544504</v>
      </c>
      <c r="D70" s="52">
        <f t="shared" si="5"/>
        <v>9583.650119895288</v>
      </c>
      <c r="E70" s="52">
        <f t="shared" si="0"/>
        <v>14926.95</v>
      </c>
      <c r="F70" s="3">
        <f t="shared" si="6"/>
        <v>0</v>
      </c>
      <c r="G70" s="5">
        <f t="shared" si="7"/>
        <v>3951.848</v>
      </c>
      <c r="H70" s="24">
        <f t="shared" si="8"/>
        <v>36265.05937643979</v>
      </c>
      <c r="I70" s="53">
        <f t="shared" si="1"/>
        <v>0.215155066356064</v>
      </c>
      <c r="J70" s="53">
        <f t="shared" si="9"/>
        <v>0.26426677040328983</v>
      </c>
      <c r="K70" s="53">
        <f t="shared" si="10"/>
        <v>0.41160693672261145</v>
      </c>
      <c r="L70" s="53">
        <f t="shared" si="11"/>
        <v>0</v>
      </c>
      <c r="M70" s="53">
        <f t="shared" si="12"/>
        <v>0.10897122651803473</v>
      </c>
      <c r="N70" s="1">
        <f t="shared" si="2"/>
        <v>41500</v>
      </c>
      <c r="O70" s="1">
        <f t="shared" si="3"/>
        <v>5298.4664673369825</v>
      </c>
    </row>
    <row r="71" spans="2:15" ht="12.75">
      <c r="B71">
        <v>50</v>
      </c>
      <c r="C71" s="52">
        <f t="shared" si="4"/>
        <v>9632.853403141362</v>
      </c>
      <c r="D71" s="52">
        <f t="shared" si="5"/>
        <v>9583.650119895288</v>
      </c>
      <c r="E71" s="52">
        <f t="shared" si="0"/>
        <v>16585.5</v>
      </c>
      <c r="F71" s="3">
        <f t="shared" si="6"/>
        <v>0</v>
      </c>
      <c r="G71" s="5">
        <f t="shared" si="7"/>
        <v>3951.848</v>
      </c>
      <c r="H71" s="24">
        <f t="shared" si="8"/>
        <v>39753.85152303665</v>
      </c>
      <c r="I71" s="53">
        <f t="shared" si="1"/>
        <v>0.24231245612917016</v>
      </c>
      <c r="J71" s="53">
        <f t="shared" si="9"/>
        <v>0.24107475760786937</v>
      </c>
      <c r="K71" s="53">
        <f t="shared" si="10"/>
        <v>0.4172048585126148</v>
      </c>
      <c r="L71" s="53">
        <f t="shared" si="11"/>
        <v>0</v>
      </c>
      <c r="M71" s="53">
        <f t="shared" si="12"/>
        <v>0.09940792775034576</v>
      </c>
      <c r="N71" s="1">
        <f t="shared" si="2"/>
        <v>37350</v>
      </c>
      <c r="O71" s="1">
        <f t="shared" si="3"/>
        <v>6453.547325168286</v>
      </c>
    </row>
    <row r="72" spans="2:15" ht="12.75">
      <c r="B72">
        <v>55</v>
      </c>
      <c r="C72" s="52">
        <f t="shared" si="4"/>
        <v>11655.752617801048</v>
      </c>
      <c r="D72" s="52">
        <f t="shared" si="5"/>
        <v>9583.650119895288</v>
      </c>
      <c r="E72" s="52">
        <f t="shared" si="0"/>
        <v>18244.05</v>
      </c>
      <c r="F72" s="3">
        <f t="shared" si="6"/>
        <v>0</v>
      </c>
      <c r="G72" s="5">
        <f t="shared" si="7"/>
        <v>3951.848</v>
      </c>
      <c r="H72" s="24">
        <f t="shared" si="8"/>
        <v>43435.300737696336</v>
      </c>
      <c r="I72" s="53">
        <f t="shared" si="1"/>
        <v>0.26834745978137853</v>
      </c>
      <c r="J72" s="53">
        <f t="shared" si="9"/>
        <v>0.2206419653399083</v>
      </c>
      <c r="K72" s="53">
        <f t="shared" si="10"/>
        <v>0.4200281727108309</v>
      </c>
      <c r="L72" s="53">
        <f t="shared" si="11"/>
        <v>0</v>
      </c>
      <c r="M72" s="53">
        <f t="shared" si="12"/>
        <v>0.09098240216788224</v>
      </c>
      <c r="N72" s="1">
        <f t="shared" si="2"/>
        <v>33954.545454545456</v>
      </c>
      <c r="O72" s="1">
        <f t="shared" si="3"/>
        <v>7756.30370316006</v>
      </c>
    </row>
    <row r="73" spans="2:15" ht="12.75">
      <c r="B73">
        <v>60</v>
      </c>
      <c r="C73" s="52">
        <f t="shared" si="4"/>
        <v>13871.30890052356</v>
      </c>
      <c r="D73" s="52">
        <f t="shared" si="5"/>
        <v>9583.650119895288</v>
      </c>
      <c r="E73" s="52">
        <f t="shared" si="0"/>
        <v>19902.599999999995</v>
      </c>
      <c r="F73" s="3">
        <f t="shared" si="6"/>
        <v>0</v>
      </c>
      <c r="G73" s="5">
        <f t="shared" si="7"/>
        <v>3951.848</v>
      </c>
      <c r="H73" s="24">
        <f t="shared" si="8"/>
        <v>47309.40702041885</v>
      </c>
      <c r="I73" s="53">
        <f t="shared" si="1"/>
        <v>0.2932040322242186</v>
      </c>
      <c r="J73" s="53">
        <f t="shared" si="9"/>
        <v>0.2025738795618166</v>
      </c>
      <c r="K73" s="53">
        <f t="shared" si="10"/>
        <v>0.420690117536455</v>
      </c>
      <c r="L73" s="53">
        <f t="shared" si="11"/>
        <v>0</v>
      </c>
      <c r="M73" s="53">
        <f t="shared" si="12"/>
        <v>0.08353197067750973</v>
      </c>
      <c r="N73" s="1">
        <f t="shared" si="2"/>
        <v>31125</v>
      </c>
      <c r="O73" s="1">
        <f t="shared" si="3"/>
        <v>9216.118250730944</v>
      </c>
    </row>
    <row r="74" spans="2:15" ht="12.75">
      <c r="B74">
        <v>65</v>
      </c>
      <c r="C74" s="52">
        <f t="shared" si="4"/>
        <v>16279.522251308905</v>
      </c>
      <c r="D74" s="52">
        <f t="shared" si="5"/>
        <v>9583.650119895288</v>
      </c>
      <c r="E74" s="52">
        <f t="shared" si="0"/>
        <v>21561.15</v>
      </c>
      <c r="F74" s="3">
        <f t="shared" si="6"/>
        <v>0</v>
      </c>
      <c r="G74" s="5">
        <f t="shared" si="7"/>
        <v>3951.848</v>
      </c>
      <c r="H74" s="24">
        <f t="shared" si="8"/>
        <v>51376.17037120419</v>
      </c>
      <c r="I74" s="53">
        <f t="shared" si="1"/>
        <v>0.3168691269451529</v>
      </c>
      <c r="J74" s="53">
        <f t="shared" si="9"/>
        <v>0.18653881849603224</v>
      </c>
      <c r="K74" s="53">
        <f t="shared" si="10"/>
        <v>0.41967219129444494</v>
      </c>
      <c r="L74" s="53">
        <f t="shared" si="11"/>
        <v>0</v>
      </c>
      <c r="M74" s="53">
        <f t="shared" si="12"/>
        <v>0.07691986326436992</v>
      </c>
      <c r="N74" s="1">
        <f t="shared" si="2"/>
        <v>28730.76923076923</v>
      </c>
      <c r="O74" s="1">
        <f t="shared" si="3"/>
        <v>10842.373617299587</v>
      </c>
    </row>
    <row r="75" spans="2:15" ht="12.75">
      <c r="B75">
        <v>70</v>
      </c>
      <c r="C75" s="52">
        <f t="shared" si="4"/>
        <v>18880.392670157067</v>
      </c>
      <c r="D75" s="52">
        <f t="shared" si="5"/>
        <v>9583.650119895288</v>
      </c>
      <c r="E75" s="52">
        <f t="shared" si="0"/>
        <v>23219.7</v>
      </c>
      <c r="F75" s="3">
        <f t="shared" si="6"/>
        <v>0</v>
      </c>
      <c r="G75" s="5">
        <f t="shared" si="7"/>
        <v>3951.848</v>
      </c>
      <c r="H75" s="24">
        <f t="shared" si="8"/>
        <v>55635.59079005236</v>
      </c>
      <c r="I75" s="53">
        <f t="shared" si="1"/>
        <v>0.3393581770597982</v>
      </c>
      <c r="J75" s="53">
        <f t="shared" si="9"/>
        <v>0.17225754204822508</v>
      </c>
      <c r="K75" s="53">
        <f t="shared" si="10"/>
        <v>0.4173533464868262</v>
      </c>
      <c r="L75" s="53">
        <f t="shared" si="11"/>
        <v>0</v>
      </c>
      <c r="M75" s="53">
        <f t="shared" si="12"/>
        <v>0.07103093440515042</v>
      </c>
      <c r="N75" s="1">
        <f t="shared" si="2"/>
        <v>26678.571428571428</v>
      </c>
      <c r="O75" s="1">
        <f t="shared" si="3"/>
        <v>12644.452452284628</v>
      </c>
    </row>
    <row r="76" spans="2:15" ht="12.75">
      <c r="B76">
        <v>75</v>
      </c>
      <c r="C76" s="52">
        <f t="shared" si="4"/>
        <v>21673.920157068063</v>
      </c>
      <c r="D76" s="52">
        <f t="shared" si="5"/>
        <v>9583.650119895288</v>
      </c>
      <c r="E76" s="52">
        <f t="shared" si="0"/>
        <v>24878.25</v>
      </c>
      <c r="F76" s="3">
        <f t="shared" si="6"/>
        <v>0</v>
      </c>
      <c r="G76" s="5">
        <f t="shared" si="7"/>
        <v>3951.848</v>
      </c>
      <c r="H76" s="24">
        <f t="shared" si="8"/>
        <v>60087.66827696335</v>
      </c>
      <c r="I76" s="53">
        <f t="shared" si="1"/>
        <v>0.3607049629079632</v>
      </c>
      <c r="J76" s="53">
        <f t="shared" si="9"/>
        <v>0.15949445859208863</v>
      </c>
      <c r="K76" s="53">
        <f t="shared" si="10"/>
        <v>0.4140325413415638</v>
      </c>
      <c r="L76" s="53">
        <f t="shared" si="11"/>
        <v>0</v>
      </c>
      <c r="M76" s="53">
        <f t="shared" si="12"/>
        <v>0.06576803715838438</v>
      </c>
      <c r="N76" s="1">
        <f t="shared" si="2"/>
        <v>24900</v>
      </c>
      <c r="O76" s="1">
        <f t="shared" si="3"/>
        <v>14631.73740510471</v>
      </c>
    </row>
    <row r="77" spans="2:15" ht="12.75">
      <c r="B77">
        <v>80</v>
      </c>
      <c r="C77" s="52">
        <f t="shared" si="4"/>
        <v>24660.104712041888</v>
      </c>
      <c r="D77" s="52">
        <f t="shared" si="5"/>
        <v>9583.650119895288</v>
      </c>
      <c r="E77" s="52">
        <f t="shared" si="0"/>
        <v>26536.799999999996</v>
      </c>
      <c r="F77" s="3">
        <f t="shared" si="6"/>
        <v>0</v>
      </c>
      <c r="G77" s="5">
        <f t="shared" si="7"/>
        <v>3951.848</v>
      </c>
      <c r="H77" s="24">
        <f t="shared" si="8"/>
        <v>64732.40283193717</v>
      </c>
      <c r="I77" s="53">
        <f t="shared" si="1"/>
        <v>0.38095457040373104</v>
      </c>
      <c r="J77" s="53">
        <f t="shared" si="9"/>
        <v>0.14805027622374897</v>
      </c>
      <c r="K77" s="53">
        <f t="shared" si="10"/>
        <v>0.40994616048622057</v>
      </c>
      <c r="L77" s="53">
        <f t="shared" si="11"/>
        <v>0</v>
      </c>
      <c r="M77" s="53">
        <f t="shared" si="12"/>
        <v>0.061048992886299405</v>
      </c>
      <c r="N77" s="1">
        <f t="shared" si="2"/>
        <v>23343.75</v>
      </c>
      <c r="O77" s="1">
        <f t="shared" si="3"/>
        <v>16813.611125178486</v>
      </c>
    </row>
    <row r="78" spans="2:15" ht="12.75">
      <c r="B78">
        <v>85</v>
      </c>
      <c r="C78" s="52">
        <f t="shared" si="4"/>
        <v>27838.946335078534</v>
      </c>
      <c r="D78" s="52">
        <f t="shared" si="5"/>
        <v>9583.650119895288</v>
      </c>
      <c r="E78" s="52">
        <f t="shared" si="0"/>
        <v>28195.349999999995</v>
      </c>
      <c r="F78" s="3">
        <f t="shared" si="6"/>
        <v>0</v>
      </c>
      <c r="G78" s="5">
        <f t="shared" si="7"/>
        <v>3951.848</v>
      </c>
      <c r="H78" s="24">
        <f t="shared" si="8"/>
        <v>69569.79445497382</v>
      </c>
      <c r="I78" s="53">
        <f t="shared" si="1"/>
        <v>0.40015852502045474</v>
      </c>
      <c r="J78" s="53">
        <f t="shared" si="9"/>
        <v>0.13775590678362448</v>
      </c>
      <c r="K78" s="53">
        <f t="shared" si="10"/>
        <v>0.4052814906366911</v>
      </c>
      <c r="L78" s="53">
        <f t="shared" si="11"/>
        <v>0</v>
      </c>
      <c r="M78" s="53">
        <f t="shared" si="12"/>
        <v>0.056804077559229685</v>
      </c>
      <c r="N78" s="1">
        <f t="shared" si="2"/>
        <v>21970.58823529412</v>
      </c>
      <c r="O78" s="1">
        <f t="shared" si="3"/>
        <v>19199.45626192459</v>
      </c>
    </row>
    <row r="79" spans="2:15" ht="12.75">
      <c r="B79">
        <v>90</v>
      </c>
      <c r="C79" s="52">
        <f t="shared" si="4"/>
        <v>31210.445026178015</v>
      </c>
      <c r="D79" s="52">
        <f t="shared" si="5"/>
        <v>9583.650119895288</v>
      </c>
      <c r="E79" s="52">
        <f t="shared" si="0"/>
        <v>29853.9</v>
      </c>
      <c r="F79" s="3">
        <f t="shared" si="6"/>
        <v>0</v>
      </c>
      <c r="G79" s="5">
        <f t="shared" si="7"/>
        <v>3951.848</v>
      </c>
      <c r="H79" s="24">
        <f t="shared" si="8"/>
        <v>74599.84314607331</v>
      </c>
      <c r="I79" s="53">
        <f t="shared" si="1"/>
        <v>0.4183714564260559</v>
      </c>
      <c r="J79" s="53">
        <f t="shared" si="9"/>
        <v>0.12846742989967988</v>
      </c>
      <c r="K79" s="53">
        <f t="shared" si="10"/>
        <v>0.4001871685111098</v>
      </c>
      <c r="L79" s="53">
        <f t="shared" si="11"/>
        <v>0</v>
      </c>
      <c r="M79" s="53">
        <f t="shared" si="12"/>
        <v>0.052973945163154304</v>
      </c>
      <c r="N79" s="1">
        <f t="shared" si="2"/>
        <v>20750</v>
      </c>
      <c r="O79" s="1">
        <f t="shared" si="3"/>
        <v>21798.655464761683</v>
      </c>
    </row>
    <row r="80" spans="2:15" ht="12.75">
      <c r="B80">
        <v>95</v>
      </c>
      <c r="C80" s="52">
        <f t="shared" si="4"/>
        <v>34774.60078534031</v>
      </c>
      <c r="D80" s="52">
        <f t="shared" si="5"/>
        <v>9583.650119895288</v>
      </c>
      <c r="E80" s="52">
        <f t="shared" si="0"/>
        <v>31512.449999999997</v>
      </c>
      <c r="F80" s="3">
        <f t="shared" si="6"/>
        <v>0</v>
      </c>
      <c r="G80" s="5">
        <f t="shared" si="7"/>
        <v>3951.848</v>
      </c>
      <c r="H80" s="24">
        <f t="shared" si="8"/>
        <v>79822.5489052356</v>
      </c>
      <c r="I80" s="53">
        <f t="shared" si="1"/>
        <v>0.4356488393602203</v>
      </c>
      <c r="J80" s="53">
        <f t="shared" si="9"/>
        <v>0.12006194053353127</v>
      </c>
      <c r="K80" s="53">
        <f t="shared" si="10"/>
        <v>0.3947813046838583</v>
      </c>
      <c r="L80" s="53">
        <f t="shared" si="11"/>
        <v>0</v>
      </c>
      <c r="M80" s="53">
        <f t="shared" si="12"/>
        <v>0.04950791542239008</v>
      </c>
      <c r="N80" s="1">
        <f t="shared" si="2"/>
        <v>19657.894736842107</v>
      </c>
      <c r="O80" s="1">
        <f t="shared" si="3"/>
        <v>24620.59138310838</v>
      </c>
    </row>
    <row r="81" spans="2:15" ht="12.75">
      <c r="B81">
        <v>100</v>
      </c>
      <c r="C81" s="52">
        <f t="shared" si="4"/>
        <v>38531.41361256545</v>
      </c>
      <c r="D81" s="52">
        <f t="shared" si="5"/>
        <v>9583.650119895288</v>
      </c>
      <c r="E81" s="52">
        <f t="shared" si="0"/>
        <v>33171</v>
      </c>
      <c r="F81" s="3">
        <f t="shared" si="6"/>
        <v>0</v>
      </c>
      <c r="G81" s="5">
        <f t="shared" si="7"/>
        <v>3951.848</v>
      </c>
      <c r="H81" s="24">
        <f t="shared" si="8"/>
        <v>85237.91173246074</v>
      </c>
      <c r="I81" s="53">
        <f t="shared" si="1"/>
        <v>0.45204549043277087</v>
      </c>
      <c r="J81" s="53">
        <f t="shared" si="9"/>
        <v>0.11243412614302227</v>
      </c>
      <c r="K81" s="53">
        <f t="shared" si="10"/>
        <v>0.38915782104229624</v>
      </c>
      <c r="L81" s="53">
        <f t="shared" si="11"/>
        <v>0</v>
      </c>
      <c r="M81" s="53">
        <f t="shared" si="12"/>
        <v>0.046362562381910596</v>
      </c>
      <c r="N81" s="1">
        <f t="shared" si="2"/>
        <v>18675</v>
      </c>
      <c r="O81" s="1">
        <f t="shared" si="3"/>
        <v>27674.64666638336</v>
      </c>
    </row>
    <row r="82" spans="2:15" ht="12.75">
      <c r="B82">
        <v>105</v>
      </c>
      <c r="C82" s="52">
        <f t="shared" si="4"/>
        <v>42480.8835078534</v>
      </c>
      <c r="D82" s="52">
        <f t="shared" si="5"/>
        <v>9583.650119895288</v>
      </c>
      <c r="E82" s="52">
        <f t="shared" si="0"/>
        <v>34829.55</v>
      </c>
      <c r="F82" s="3">
        <f t="shared" si="6"/>
        <v>0</v>
      </c>
      <c r="G82" s="5">
        <f t="shared" si="7"/>
        <v>3951.848</v>
      </c>
      <c r="H82" s="24">
        <f t="shared" si="8"/>
        <v>90845.9316277487</v>
      </c>
      <c r="I82" s="53">
        <f t="shared" si="1"/>
        <v>0.4676145948056711</v>
      </c>
      <c r="J82" s="53">
        <f t="shared" si="9"/>
        <v>0.10549344310943236</v>
      </c>
      <c r="K82" s="53">
        <f t="shared" si="10"/>
        <v>0.3833914119865924</v>
      </c>
      <c r="L82" s="53">
        <f t="shared" si="11"/>
        <v>0</v>
      </c>
      <c r="M82" s="53">
        <f t="shared" si="12"/>
        <v>0.0435005500983042</v>
      </c>
      <c r="N82" s="1">
        <f t="shared" si="2"/>
        <v>17785.714285714286</v>
      </c>
      <c r="O82" s="1">
        <f t="shared" si="3"/>
        <v>30970.203964005235</v>
      </c>
    </row>
    <row r="83" spans="2:15" ht="12.75">
      <c r="B83">
        <v>110</v>
      </c>
      <c r="C83" s="52">
        <f t="shared" si="4"/>
        <v>46623.010471204194</v>
      </c>
      <c r="D83" s="52">
        <f t="shared" si="5"/>
        <v>9583.650119895288</v>
      </c>
      <c r="E83" s="52">
        <f t="shared" si="0"/>
        <v>36488.1</v>
      </c>
      <c r="F83" s="3">
        <f t="shared" si="6"/>
        <v>0</v>
      </c>
      <c r="G83" s="5">
        <f t="shared" si="7"/>
        <v>3951.848</v>
      </c>
      <c r="H83" s="24">
        <f t="shared" si="8"/>
        <v>96646.60859109947</v>
      </c>
      <c r="I83" s="53">
        <f t="shared" si="1"/>
        <v>0.48240710306205065</v>
      </c>
      <c r="J83" s="53">
        <f t="shared" si="9"/>
        <v>0.09916178394259641</v>
      </c>
      <c r="K83" s="53">
        <f t="shared" si="10"/>
        <v>0.3775414422908195</v>
      </c>
      <c r="L83" s="53">
        <f t="shared" si="11"/>
        <v>0</v>
      </c>
      <c r="M83" s="53">
        <f t="shared" si="12"/>
        <v>0.040889670704533546</v>
      </c>
      <c r="N83" s="1">
        <f t="shared" si="2"/>
        <v>16977.272727272728</v>
      </c>
      <c r="O83" s="1">
        <f t="shared" si="3"/>
        <v>34516.645925392666</v>
      </c>
    </row>
    <row r="84" spans="2:15" ht="12.75">
      <c r="B84">
        <v>115</v>
      </c>
      <c r="C84" s="52">
        <f t="shared" si="4"/>
        <v>50957.794502617806</v>
      </c>
      <c r="D84" s="52">
        <f t="shared" si="5"/>
        <v>9583.650119895288</v>
      </c>
      <c r="E84" s="52">
        <f t="shared" si="0"/>
        <v>38146.65</v>
      </c>
      <c r="F84" s="3">
        <f t="shared" si="6"/>
        <v>0</v>
      </c>
      <c r="G84" s="5">
        <f t="shared" si="7"/>
        <v>3951.848</v>
      </c>
      <c r="H84" s="24">
        <f t="shared" si="8"/>
        <v>102639.9426225131</v>
      </c>
      <c r="I84" s="53">
        <f t="shared" si="1"/>
        <v>0.49647138531662327</v>
      </c>
      <c r="J84" s="53">
        <f t="shared" si="9"/>
        <v>0.09337154595985915</v>
      </c>
      <c r="K84" s="53">
        <f t="shared" si="10"/>
        <v>0.3716550206998352</v>
      </c>
      <c r="L84" s="53">
        <f t="shared" si="11"/>
        <v>0</v>
      </c>
      <c r="M84" s="53">
        <f t="shared" si="12"/>
        <v>0.038502048023682345</v>
      </c>
      <c r="N84" s="1">
        <f t="shared" si="2"/>
        <v>16239.130434782608</v>
      </c>
      <c r="O84" s="1">
        <f t="shared" si="3"/>
        <v>38323.3551999643</v>
      </c>
    </row>
    <row r="85" spans="2:15" ht="12.75">
      <c r="B85">
        <v>120</v>
      </c>
      <c r="C85" s="52">
        <f t="shared" si="4"/>
        <v>55485.23560209424</v>
      </c>
      <c r="D85" s="52">
        <f t="shared" si="5"/>
        <v>9583.650119895288</v>
      </c>
      <c r="E85" s="52">
        <f t="shared" si="0"/>
        <v>39805.19999999999</v>
      </c>
      <c r="F85" s="3">
        <f t="shared" si="6"/>
        <v>0</v>
      </c>
      <c r="G85" s="5">
        <f t="shared" si="7"/>
        <v>3951.848</v>
      </c>
      <c r="H85" s="24">
        <f t="shared" si="8"/>
        <v>108825.93372198951</v>
      </c>
      <c r="I85" s="53">
        <f t="shared" si="1"/>
        <v>0.509853062633386</v>
      </c>
      <c r="J85" s="53">
        <f t="shared" si="9"/>
        <v>0.08806402841787704</v>
      </c>
      <c r="K85" s="53">
        <f t="shared" si="10"/>
        <v>0.3657694323274793</v>
      </c>
      <c r="L85" s="53">
        <f t="shared" si="11"/>
        <v>0</v>
      </c>
      <c r="M85" s="53">
        <f t="shared" si="12"/>
        <v>0.03631347662125765</v>
      </c>
      <c r="N85" s="1">
        <f t="shared" si="2"/>
        <v>15562.5</v>
      </c>
      <c r="O85" s="1">
        <f t="shared" si="3"/>
        <v>42399.71443713877</v>
      </c>
    </row>
    <row r="86" spans="2:15" ht="12.75">
      <c r="B86">
        <v>125</v>
      </c>
      <c r="C86" s="52">
        <f t="shared" si="4"/>
        <v>60205.333769633515</v>
      </c>
      <c r="D86" s="52">
        <f t="shared" si="5"/>
        <v>9583.650119895288</v>
      </c>
      <c r="E86" s="52">
        <f t="shared" si="0"/>
        <v>41463.75</v>
      </c>
      <c r="F86" s="3">
        <f t="shared" si="6"/>
        <v>0</v>
      </c>
      <c r="G86" s="5">
        <f t="shared" si="7"/>
        <v>3951.848</v>
      </c>
      <c r="H86" s="24">
        <f t="shared" si="8"/>
        <v>115204.5818895288</v>
      </c>
      <c r="I86" s="53">
        <f t="shared" si="1"/>
        <v>0.5225949591776238</v>
      </c>
      <c r="J86" s="53">
        <f t="shared" si="9"/>
        <v>0.08318809862167789</v>
      </c>
      <c r="K86" s="53">
        <f t="shared" si="10"/>
        <v>0.3599140704295958</v>
      </c>
      <c r="L86" s="53">
        <f t="shared" si="11"/>
        <v>0</v>
      </c>
      <c r="M86" s="53">
        <f t="shared" si="12"/>
        <v>0.03430287177110264</v>
      </c>
      <c r="N86" s="1">
        <f t="shared" si="2"/>
        <v>14940</v>
      </c>
      <c r="O86" s="1">
        <f t="shared" si="3"/>
        <v>46755.10628633474</v>
      </c>
    </row>
    <row r="87" spans="2:15" ht="12.75">
      <c r="B87">
        <v>130</v>
      </c>
      <c r="C87" s="52">
        <f t="shared" si="4"/>
        <v>65118.08900523562</v>
      </c>
      <c r="D87" s="52">
        <f t="shared" si="5"/>
        <v>9583.650119895288</v>
      </c>
      <c r="E87" s="52">
        <f t="shared" si="0"/>
        <v>43122.3</v>
      </c>
      <c r="F87" s="3">
        <f t="shared" si="6"/>
        <v>0</v>
      </c>
      <c r="G87" s="5">
        <f t="shared" si="7"/>
        <v>3951.848</v>
      </c>
      <c r="H87" s="24">
        <f t="shared" si="8"/>
        <v>121775.8871251309</v>
      </c>
      <c r="I87" s="53">
        <f t="shared" si="1"/>
        <v>0.5347371350973898</v>
      </c>
      <c r="J87" s="53">
        <f t="shared" si="9"/>
        <v>0.078699078661177</v>
      </c>
      <c r="K87" s="53">
        <f t="shared" si="10"/>
        <v>0.3541119758437042</v>
      </c>
      <c r="L87" s="53">
        <f t="shared" si="11"/>
        <v>0</v>
      </c>
      <c r="M87" s="53">
        <f t="shared" si="12"/>
        <v>0.032451810397729035</v>
      </c>
      <c r="N87" s="1">
        <f t="shared" si="2"/>
        <v>14365.384615384615</v>
      </c>
      <c r="O87" s="1">
        <f t="shared" si="3"/>
        <v>51398.913396970835</v>
      </c>
    </row>
  </sheetData>
  <sheetProtection/>
  <mergeCells count="8">
    <mergeCell ref="B44:C44"/>
    <mergeCell ref="B46:C46"/>
    <mergeCell ref="B47:C47"/>
    <mergeCell ref="B2:J3"/>
    <mergeCell ref="B41:C41"/>
    <mergeCell ref="B42:C42"/>
    <mergeCell ref="B43:C43"/>
    <mergeCell ref="G5:H6"/>
  </mergeCells>
  <conditionalFormatting sqref="G7">
    <cfRule type="cellIs" priority="1" dxfId="12" operator="lessThan" stopIfTrue="1">
      <formula>$F$7</formula>
    </cfRule>
  </conditionalFormatting>
  <dataValidations count="3">
    <dataValidation type="list" allowBlank="1" showInputMessage="1" showErrorMessage="1" sqref="C8">
      <formula1>$B$50:$B$58</formula1>
    </dataValidation>
    <dataValidation type="list" allowBlank="1" showInputMessage="1" showErrorMessage="1" sqref="C10">
      <formula1>$B$41:$B$47</formula1>
    </dataValidation>
    <dataValidation type="list" allowBlank="1" showInputMessage="1" showErrorMessage="1" sqref="C11">
      <formula1>$G$39:$H$39</formula1>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2:P86"/>
  <sheetViews>
    <sheetView zoomScalePageLayoutView="0" workbookViewId="0" topLeftCell="A1">
      <selection activeCell="D9" sqref="D9"/>
    </sheetView>
  </sheetViews>
  <sheetFormatPr defaultColWidth="9.140625" defaultRowHeight="12.75"/>
  <cols>
    <col min="1" max="1" width="1.421875" style="0" customWidth="1"/>
    <col min="2" max="2" width="11.57421875" style="0" customWidth="1"/>
    <col min="3" max="3" width="10.7109375" style="0" customWidth="1"/>
    <col min="4" max="4" width="11.8515625" style="0" customWidth="1"/>
    <col min="5" max="5" width="9.421875" style="0" customWidth="1"/>
    <col min="6" max="6" width="1.28515625" style="0" customWidth="1"/>
    <col min="7" max="7" width="4.57421875" style="0" customWidth="1"/>
    <col min="8" max="8" width="9.8515625" style="0" customWidth="1"/>
    <col min="9" max="9" width="7.28125" style="0" customWidth="1"/>
    <col min="10" max="10" width="13.00390625" style="0" customWidth="1"/>
    <col min="11" max="11" width="9.00390625" style="0" customWidth="1"/>
    <col min="12" max="12" width="11.7109375" style="0" customWidth="1"/>
    <col min="13" max="13" width="11.140625" style="0" customWidth="1"/>
    <col min="14" max="14" width="9.8515625" style="0" customWidth="1"/>
    <col min="15" max="15" width="7.421875" style="0" customWidth="1"/>
    <col min="16" max="16" width="9.28125" style="0" customWidth="1"/>
  </cols>
  <sheetData>
    <row r="1" ht="13.5" thickBot="1"/>
    <row r="2" spans="2:16" ht="12.75" customHeight="1">
      <c r="B2" s="232" t="s">
        <v>25</v>
      </c>
      <c r="C2" s="233"/>
      <c r="D2" s="233"/>
      <c r="E2" s="233"/>
      <c r="F2" s="233"/>
      <c r="G2" s="233"/>
      <c r="H2" s="233"/>
      <c r="I2" s="233"/>
      <c r="J2" s="233"/>
      <c r="K2" s="233"/>
      <c r="L2" s="233"/>
      <c r="M2" s="233"/>
      <c r="N2" s="233"/>
      <c r="O2" s="233"/>
      <c r="P2" s="234"/>
    </row>
    <row r="3" spans="2:16" ht="12.75" customHeight="1" thickBot="1">
      <c r="B3" s="235"/>
      <c r="C3" s="236"/>
      <c r="D3" s="236"/>
      <c r="E3" s="236"/>
      <c r="F3" s="236"/>
      <c r="G3" s="236"/>
      <c r="H3" s="236"/>
      <c r="I3" s="236"/>
      <c r="J3" s="236"/>
      <c r="K3" s="236"/>
      <c r="L3" s="236"/>
      <c r="M3" s="236"/>
      <c r="N3" s="236"/>
      <c r="O3" s="236"/>
      <c r="P3" s="237"/>
    </row>
    <row r="4" spans="2:16" ht="12.75" customHeight="1">
      <c r="B4" s="30"/>
      <c r="C4" s="30"/>
      <c r="D4" s="30"/>
      <c r="E4" s="30"/>
      <c r="F4" s="30"/>
      <c r="G4" s="30"/>
      <c r="H4" s="30"/>
      <c r="I4" s="30"/>
      <c r="J4" s="30"/>
      <c r="K4" s="30"/>
      <c r="L4" s="30"/>
      <c r="M4" s="30"/>
      <c r="N4" s="30"/>
      <c r="O4" s="30"/>
      <c r="P4" s="30"/>
    </row>
    <row r="5" spans="2:6" ht="12.75" customHeight="1" thickBot="1">
      <c r="B5" s="30"/>
      <c r="C5" s="30"/>
      <c r="D5" s="30"/>
      <c r="F5" s="30"/>
    </row>
    <row r="6" spans="2:16" ht="12.75" customHeight="1" thickBot="1">
      <c r="B6" s="30" t="s">
        <v>61</v>
      </c>
      <c r="C6" s="30"/>
      <c r="D6" s="30"/>
      <c r="F6" s="30"/>
      <c r="G6" s="238" t="s">
        <v>17</v>
      </c>
      <c r="H6" s="239"/>
      <c r="I6" s="239"/>
      <c r="J6" s="239"/>
      <c r="K6" s="239"/>
      <c r="L6" s="239"/>
      <c r="M6" s="239"/>
      <c r="N6" s="239"/>
      <c r="O6" s="239"/>
      <c r="P6" s="240"/>
    </row>
    <row r="7" spans="2:16" ht="12.75" customHeight="1" thickBot="1">
      <c r="B7" s="27" t="s">
        <v>56</v>
      </c>
      <c r="C7" t="s">
        <v>29</v>
      </c>
      <c r="D7" t="s">
        <v>34</v>
      </c>
      <c r="E7" t="s">
        <v>35</v>
      </c>
      <c r="F7" s="32"/>
      <c r="G7" s="12"/>
      <c r="H7" s="10" t="s">
        <v>15</v>
      </c>
      <c r="I7" s="10" t="s">
        <v>18</v>
      </c>
      <c r="J7" s="51" t="str">
        <f>E10</f>
        <v>Big Box</v>
      </c>
      <c r="K7" s="247" t="s">
        <v>19</v>
      </c>
      <c r="L7" s="245" t="s">
        <v>33</v>
      </c>
      <c r="M7" s="243" t="s">
        <v>27</v>
      </c>
      <c r="N7" s="50"/>
      <c r="O7" s="11"/>
      <c r="P7" s="13"/>
    </row>
    <row r="8" spans="2:16" ht="13.5" thickBot="1">
      <c r="B8" s="25">
        <v>10</v>
      </c>
      <c r="C8" s="22">
        <v>0</v>
      </c>
      <c r="D8" s="6">
        <v>30</v>
      </c>
      <c r="E8" s="6">
        <v>0</v>
      </c>
      <c r="F8" s="31"/>
      <c r="G8" s="12" t="s">
        <v>22</v>
      </c>
      <c r="H8" s="11" t="s">
        <v>16</v>
      </c>
      <c r="I8" s="6">
        <v>4</v>
      </c>
      <c r="J8" s="6">
        <v>80</v>
      </c>
      <c r="K8" s="248"/>
      <c r="L8" s="246"/>
      <c r="M8" s="244"/>
      <c r="N8" s="50"/>
      <c r="O8" s="10" t="s">
        <v>23</v>
      </c>
      <c r="P8" s="19" t="s">
        <v>26</v>
      </c>
    </row>
    <row r="9" spans="2:16" ht="26.25" thickBot="1">
      <c r="B9" t="s">
        <v>1</v>
      </c>
      <c r="C9" s="21" t="s">
        <v>30</v>
      </c>
      <c r="D9" s="21" t="s">
        <v>31</v>
      </c>
      <c r="F9" s="15"/>
      <c r="G9" s="12">
        <v>10</v>
      </c>
      <c r="H9" s="7">
        <f>$I$8*375*$C$11*0.83/B26</f>
        <v>373500</v>
      </c>
      <c r="I9" s="5">
        <f>$I$8*C26</f>
        <v>8150.4</v>
      </c>
      <c r="J9" s="5">
        <f>$J$8*E26</f>
        <v>80160</v>
      </c>
      <c r="K9" s="9">
        <f>SUM(I9:J9)</f>
        <v>88310.4</v>
      </c>
      <c r="L9" s="9">
        <f>K9*O9</f>
        <v>800.0000000000001</v>
      </c>
      <c r="M9" s="9">
        <f>K9*G9/308</f>
        <v>2867.220779220779</v>
      </c>
      <c r="N9" s="18">
        <f aca="true" t="shared" si="0" ref="N9:N28">H9-K9</f>
        <v>285189.6</v>
      </c>
      <c r="O9" s="16">
        <f>($I$8*($C$13*$C$14*(G9+$E$8)^2)+($J$8*($E$13*$E$14*((G9+$E$8)^2))))/K9</f>
        <v>0.009058955683588797</v>
      </c>
      <c r="P9" s="17">
        <f>1-O9</f>
        <v>0.9909410443164112</v>
      </c>
    </row>
    <row r="10" spans="2:16" ht="12.75">
      <c r="B10" t="s">
        <v>50</v>
      </c>
      <c r="C10" s="6" t="s">
        <v>42</v>
      </c>
      <c r="D10" s="6" t="str">
        <f>C10</f>
        <v>SD-40-2</v>
      </c>
      <c r="E10" s="29" t="s">
        <v>37</v>
      </c>
      <c r="G10" s="12">
        <v>15</v>
      </c>
      <c r="H10" s="7">
        <f aca="true" t="shared" si="1" ref="H10:H28">$I$8*375*$C$11*0.83/B27</f>
        <v>249000</v>
      </c>
      <c r="I10" s="5">
        <f>$I$8*C27</f>
        <v>8415</v>
      </c>
      <c r="J10" s="5">
        <f aca="true" t="shared" si="2" ref="J10:J18">$J$8*E27</f>
        <v>82630</v>
      </c>
      <c r="K10" s="9">
        <f aca="true" t="shared" si="3" ref="K10:K28">SUM(I10:J10)</f>
        <v>91045</v>
      </c>
      <c r="L10" s="9">
        <f aca="true" t="shared" si="4" ref="L10:L28">K10*O10</f>
        <v>1800</v>
      </c>
      <c r="M10" s="9">
        <f aca="true" t="shared" si="5" ref="M10:M28">K10*G10/308</f>
        <v>4434.00974025974</v>
      </c>
      <c r="N10" s="18">
        <f t="shared" si="0"/>
        <v>157955</v>
      </c>
      <c r="O10" s="16">
        <f aca="true" t="shared" si="6" ref="O10:O28">($I$8*($C$13*$C$14*(G10+$E$8)^2)+($J$8*($E$13*$E$14*((G10+$E$8)^2))))/K10</f>
        <v>0.019770443187434785</v>
      </c>
      <c r="P10" s="17">
        <f aca="true" t="shared" si="7" ref="P10:P28">1-O10</f>
        <v>0.9802295568125652</v>
      </c>
    </row>
    <row r="11" spans="2:16" ht="12.75">
      <c r="B11" t="s">
        <v>55</v>
      </c>
      <c r="C11" s="3">
        <f>(VLOOKUP(C10,H41:N49,4,FALSE))</f>
        <v>3000</v>
      </c>
      <c r="D11" s="3">
        <f>C11</f>
        <v>3000</v>
      </c>
      <c r="E11" s="28" t="s">
        <v>59</v>
      </c>
      <c r="G11" s="12">
        <v>20</v>
      </c>
      <c r="H11" s="7">
        <f t="shared" si="1"/>
        <v>186750</v>
      </c>
      <c r="I11" s="5">
        <f aca="true" t="shared" si="8" ref="I11:I18">$I$8*C28</f>
        <v>8739.6</v>
      </c>
      <c r="J11" s="5">
        <f t="shared" si="2"/>
        <v>85440</v>
      </c>
      <c r="K11" s="9">
        <f t="shared" si="3"/>
        <v>94179.6</v>
      </c>
      <c r="L11" s="9">
        <f t="shared" si="4"/>
        <v>3200</v>
      </c>
      <c r="M11" s="9">
        <f t="shared" si="5"/>
        <v>6115.558441558442</v>
      </c>
      <c r="N11" s="18">
        <f t="shared" si="0"/>
        <v>92570.4</v>
      </c>
      <c r="O11" s="16">
        <f t="shared" si="6"/>
        <v>0.033977634222273186</v>
      </c>
      <c r="P11" s="17">
        <f t="shared" si="7"/>
        <v>0.9660223657777268</v>
      </c>
    </row>
    <row r="12" spans="2:16" ht="12.75">
      <c r="B12" s="8" t="s">
        <v>2</v>
      </c>
      <c r="C12" s="26">
        <f>VLOOKUP(C10,H41:O49,6,FALSE)</f>
        <v>0.03</v>
      </c>
      <c r="D12" s="3">
        <v>0.03</v>
      </c>
      <c r="E12" s="3">
        <f>(VLOOKUP(E10,H32:N38,3,FALSE))</f>
        <v>0.045</v>
      </c>
      <c r="G12" s="12">
        <v>25</v>
      </c>
      <c r="H12" s="7">
        <f t="shared" si="1"/>
        <v>149400</v>
      </c>
      <c r="I12" s="5">
        <f t="shared" si="8"/>
        <v>9124.2</v>
      </c>
      <c r="J12" s="5">
        <f t="shared" si="2"/>
        <v>88590</v>
      </c>
      <c r="K12" s="9">
        <f t="shared" si="3"/>
        <v>97714.2</v>
      </c>
      <c r="L12" s="9">
        <f t="shared" si="4"/>
        <v>5000.000000000001</v>
      </c>
      <c r="M12" s="9">
        <f t="shared" si="5"/>
        <v>7931.347402597403</v>
      </c>
      <c r="N12" s="18">
        <f t="shared" si="0"/>
        <v>51685.8</v>
      </c>
      <c r="O12" s="16">
        <f t="shared" si="6"/>
        <v>0.051169635528920066</v>
      </c>
      <c r="P12" s="17">
        <f t="shared" si="7"/>
        <v>0.9488303644710799</v>
      </c>
    </row>
    <row r="13" spans="2:16" ht="12.75">
      <c r="B13" s="8" t="s">
        <v>12</v>
      </c>
      <c r="C13" s="3">
        <v>0.0025</v>
      </c>
      <c r="D13" s="3">
        <v>0.0017</v>
      </c>
      <c r="E13" s="3">
        <f>(VLOOKUP(E10,H32:N38,4,FALSE))</f>
        <v>0.0005</v>
      </c>
      <c r="G13" s="12">
        <v>30</v>
      </c>
      <c r="H13" s="7">
        <f t="shared" si="1"/>
        <v>124500</v>
      </c>
      <c r="I13" s="5">
        <f t="shared" si="8"/>
        <v>9568.8</v>
      </c>
      <c r="J13" s="5">
        <f t="shared" si="2"/>
        <v>92080</v>
      </c>
      <c r="K13" s="9">
        <f t="shared" si="3"/>
        <v>101648.8</v>
      </c>
      <c r="L13" s="9">
        <f t="shared" si="4"/>
        <v>7200</v>
      </c>
      <c r="M13" s="9">
        <f t="shared" si="5"/>
        <v>9900.857142857143</v>
      </c>
      <c r="N13" s="18">
        <f t="shared" si="0"/>
        <v>22851.199999999997</v>
      </c>
      <c r="O13" s="16">
        <f t="shared" si="6"/>
        <v>0.07083212000535176</v>
      </c>
      <c r="P13" s="17">
        <f t="shared" si="7"/>
        <v>0.9291678799946482</v>
      </c>
    </row>
    <row r="14" spans="2:16" ht="12.75">
      <c r="B14" s="8" t="s">
        <v>3</v>
      </c>
      <c r="C14" s="3">
        <v>120</v>
      </c>
      <c r="D14" s="3">
        <v>120</v>
      </c>
      <c r="E14" s="3">
        <f>(VLOOKUP(E10,H32:N38,5,FALSE))</f>
        <v>170</v>
      </c>
      <c r="G14" s="12">
        <v>35</v>
      </c>
      <c r="H14" s="7">
        <f t="shared" si="1"/>
        <v>106714.28571428571</v>
      </c>
      <c r="I14" s="5">
        <f t="shared" si="8"/>
        <v>10073.4</v>
      </c>
      <c r="J14" s="5">
        <f t="shared" si="2"/>
        <v>95910</v>
      </c>
      <c r="K14" s="9">
        <f>SUM(I14:J14)</f>
        <v>105983.4</v>
      </c>
      <c r="L14" s="9">
        <f t="shared" si="4"/>
        <v>9800.000000000002</v>
      </c>
      <c r="M14" s="9">
        <f t="shared" si="5"/>
        <v>12043.568181818182</v>
      </c>
      <c r="N14" s="18">
        <f t="shared" si="0"/>
        <v>730.885714285716</v>
      </c>
      <c r="O14" s="16">
        <f t="shared" si="6"/>
        <v>0.09246731091850235</v>
      </c>
      <c r="P14" s="17">
        <f t="shared" si="7"/>
        <v>0.9075326890814976</v>
      </c>
    </row>
    <row r="15" spans="2:16" ht="12.75">
      <c r="B15" t="s">
        <v>13</v>
      </c>
      <c r="C15" s="3">
        <f>IF($C$10=$H$41,$O$41,IF($C$10=$H$42,O42,IF($C$10=$H$43,O43,IF($C$10=$H$44,O44,IF($C$10=$H$45,O45,IF($C$10=$H$46,O46,IF($C$10=$H$47,O47,IF($C$10=$H$48,O48,))))))))</f>
        <v>6</v>
      </c>
      <c r="D15" s="3">
        <f>C15</f>
        <v>6</v>
      </c>
      <c r="E15" s="3">
        <v>4</v>
      </c>
      <c r="G15" s="12">
        <v>40</v>
      </c>
      <c r="H15" s="7">
        <f t="shared" si="1"/>
        <v>93375</v>
      </c>
      <c r="I15" s="5">
        <f t="shared" si="8"/>
        <v>10638</v>
      </c>
      <c r="J15" s="5">
        <f t="shared" si="2"/>
        <v>100080</v>
      </c>
      <c r="K15" s="9">
        <f>SUM(I15:J15)</f>
        <v>110718</v>
      </c>
      <c r="L15" s="9">
        <f t="shared" si="4"/>
        <v>12800</v>
      </c>
      <c r="M15" s="9">
        <f t="shared" si="5"/>
        <v>14378.961038961039</v>
      </c>
      <c r="N15" s="18">
        <f t="shared" si="0"/>
        <v>-17343</v>
      </c>
      <c r="O15" s="16">
        <f>($I$8*($C$13*$C$14*(G15+$E$8)^2)+($J$8*($E$13*$E$14*((G15+$E$8)^2))))/K15</f>
        <v>0.11560902472949294</v>
      </c>
      <c r="P15" s="17">
        <f t="shared" si="7"/>
        <v>0.884390975270507</v>
      </c>
    </row>
    <row r="16" spans="2:16" ht="12.75">
      <c r="B16" t="s">
        <v>0</v>
      </c>
      <c r="C16" s="3">
        <v>191</v>
      </c>
      <c r="D16" s="3">
        <v>191</v>
      </c>
      <c r="E16" s="3">
        <f>(VLOOKUP(E10,H32:N38,MATCH(E11,H31:N31,0),FALSE))/2000</f>
        <v>90</v>
      </c>
      <c r="G16" s="12">
        <v>45</v>
      </c>
      <c r="H16" s="7">
        <f t="shared" si="1"/>
        <v>83000</v>
      </c>
      <c r="I16" s="5">
        <f t="shared" si="8"/>
        <v>11262.6</v>
      </c>
      <c r="J16" s="5">
        <f t="shared" si="2"/>
        <v>104590</v>
      </c>
      <c r="K16" s="9">
        <f t="shared" si="3"/>
        <v>115852.6</v>
      </c>
      <c r="L16" s="9">
        <f t="shared" si="4"/>
        <v>16200</v>
      </c>
      <c r="M16" s="9">
        <f t="shared" si="5"/>
        <v>16926.516233766233</v>
      </c>
      <c r="N16" s="18">
        <f t="shared" si="0"/>
        <v>-32852.600000000006</v>
      </c>
      <c r="O16" s="16">
        <f t="shared" si="6"/>
        <v>0.1398328565781001</v>
      </c>
      <c r="P16" s="17">
        <f t="shared" si="7"/>
        <v>0.8601671434218999</v>
      </c>
    </row>
    <row r="17" spans="2:16" ht="12.75">
      <c r="B17" s="1" t="s">
        <v>4</v>
      </c>
      <c r="C17" s="5">
        <f>1.3*$C$16+29*$C$15</f>
        <v>422.3</v>
      </c>
      <c r="D17" s="5">
        <f>1.3*$D$16+29*$D$15</f>
        <v>422.3</v>
      </c>
      <c r="E17" s="5">
        <f>1.3*$E$16+29*$E$15</f>
        <v>233</v>
      </c>
      <c r="G17" s="12">
        <v>50</v>
      </c>
      <c r="H17" s="7">
        <f t="shared" si="1"/>
        <v>74700</v>
      </c>
      <c r="I17" s="5">
        <f t="shared" si="8"/>
        <v>11947.2</v>
      </c>
      <c r="J17" s="5">
        <f t="shared" si="2"/>
        <v>109440</v>
      </c>
      <c r="K17" s="9">
        <f t="shared" si="3"/>
        <v>121387.2</v>
      </c>
      <c r="L17" s="9">
        <f t="shared" si="4"/>
        <v>20000.000000000004</v>
      </c>
      <c r="M17" s="9">
        <f t="shared" si="5"/>
        <v>19705.714285714286</v>
      </c>
      <c r="N17" s="18">
        <f t="shared" si="0"/>
        <v>-46687.2</v>
      </c>
      <c r="O17" s="16">
        <f t="shared" si="6"/>
        <v>0.1647620177415741</v>
      </c>
      <c r="P17" s="17">
        <f t="shared" si="7"/>
        <v>0.8352379822584259</v>
      </c>
    </row>
    <row r="18" spans="2:16" ht="12.75">
      <c r="B18" s="1" t="s">
        <v>5</v>
      </c>
      <c r="C18" s="5">
        <f>C12*($D8+$E$8)*$C$16</f>
        <v>171.89999999999998</v>
      </c>
      <c r="D18" s="5">
        <f>D12*($D8+$E$8)*$D$16</f>
        <v>171.89999999999998</v>
      </c>
      <c r="E18" s="5">
        <f>$E$12*($D8+$E$8)*$E$16</f>
        <v>121.49999999999999</v>
      </c>
      <c r="G18" s="12">
        <v>55</v>
      </c>
      <c r="H18" s="7">
        <f t="shared" si="1"/>
        <v>67909.09090909091</v>
      </c>
      <c r="I18" s="5">
        <f t="shared" si="8"/>
        <v>12691.8</v>
      </c>
      <c r="J18" s="5">
        <f t="shared" si="2"/>
        <v>114630</v>
      </c>
      <c r="K18" s="9">
        <f t="shared" si="3"/>
        <v>127321.8</v>
      </c>
      <c r="L18" s="9">
        <f t="shared" si="4"/>
        <v>24200</v>
      </c>
      <c r="M18" s="9">
        <f t="shared" si="5"/>
        <v>22736.035714285714</v>
      </c>
      <c r="N18" s="18">
        <f t="shared" si="0"/>
        <v>-59412.70909090909</v>
      </c>
      <c r="O18" s="16">
        <f t="shared" si="6"/>
        <v>0.19006957174655087</v>
      </c>
      <c r="P18" s="17">
        <f t="shared" si="7"/>
        <v>0.8099304282534492</v>
      </c>
    </row>
    <row r="19" spans="2:16" ht="12.75">
      <c r="B19" s="1" t="s">
        <v>6</v>
      </c>
      <c r="C19" s="5">
        <f>$C$13*$C$14*($D8+$E$8)^2</f>
        <v>270</v>
      </c>
      <c r="D19" s="5">
        <f>$D$13*$D$14*($D8+$E$8)^2</f>
        <v>183.6</v>
      </c>
      <c r="E19" s="5">
        <f>$E$13*$E$14*($D8+$E$8)^2</f>
        <v>76.5</v>
      </c>
      <c r="G19" s="12">
        <v>60</v>
      </c>
      <c r="H19" s="7">
        <f t="shared" si="1"/>
        <v>62250</v>
      </c>
      <c r="I19" s="5">
        <f>$I$8*C36</f>
        <v>13496.4</v>
      </c>
      <c r="J19" s="5">
        <f>$J$8*E36</f>
        <v>120160</v>
      </c>
      <c r="K19" s="9">
        <f t="shared" si="3"/>
        <v>133656.4</v>
      </c>
      <c r="L19" s="9">
        <f t="shared" si="4"/>
        <v>28800</v>
      </c>
      <c r="M19" s="9">
        <f t="shared" si="5"/>
        <v>26036.96103896104</v>
      </c>
      <c r="N19" s="18">
        <f t="shared" si="0"/>
        <v>-71406.4</v>
      </c>
      <c r="O19" s="16">
        <f t="shared" si="6"/>
        <v>0.2154778970554347</v>
      </c>
      <c r="P19" s="17">
        <f t="shared" si="7"/>
        <v>0.7845221029445653</v>
      </c>
    </row>
    <row r="20" spans="2:16" ht="12.75">
      <c r="B20" s="1" t="s">
        <v>29</v>
      </c>
      <c r="C20" s="5">
        <f>20*C16*$C$8*100</f>
        <v>0</v>
      </c>
      <c r="D20" s="5">
        <f>20*D16*$C$8*100</f>
        <v>0</v>
      </c>
      <c r="E20" s="5">
        <f>20*E16*$C$8*100</f>
        <v>0</v>
      </c>
      <c r="G20" s="12">
        <v>65</v>
      </c>
      <c r="H20" s="7">
        <f t="shared" si="1"/>
        <v>57461.53846153846</v>
      </c>
      <c r="I20" s="5">
        <f>$I$8*C37</f>
        <v>14361</v>
      </c>
      <c r="J20" s="5">
        <f>$J$8*E37</f>
        <v>126030</v>
      </c>
      <c r="K20" s="9">
        <f t="shared" si="3"/>
        <v>140391</v>
      </c>
      <c r="L20" s="9">
        <f>K20*O20</f>
        <v>33800</v>
      </c>
      <c r="M20" s="9">
        <f t="shared" si="5"/>
        <v>29627.97077922078</v>
      </c>
      <c r="N20" s="18">
        <f t="shared" si="0"/>
        <v>-82929.46153846153</v>
      </c>
      <c r="O20" s="16">
        <f t="shared" si="6"/>
        <v>0.24075617382880668</v>
      </c>
      <c r="P20" s="17">
        <f t="shared" si="7"/>
        <v>0.7592438261711933</v>
      </c>
    </row>
    <row r="21" spans="2:16" ht="12.75">
      <c r="B21" s="1" t="s">
        <v>32</v>
      </c>
      <c r="C21" s="5">
        <f>0.8*C16*$B$8</f>
        <v>1528</v>
      </c>
      <c r="D21" s="5">
        <f>0.8*D16*$B$8</f>
        <v>1528</v>
      </c>
      <c r="E21" s="5">
        <f>0.8*E16*$B$8</f>
        <v>720</v>
      </c>
      <c r="G21" s="12">
        <v>70</v>
      </c>
      <c r="H21" s="7">
        <f t="shared" si="1"/>
        <v>53357.142857142855</v>
      </c>
      <c r="I21" s="5">
        <f>$I$8*C38</f>
        <v>15285.6</v>
      </c>
      <c r="J21" s="5">
        <f>$J$8*E38</f>
        <v>132240</v>
      </c>
      <c r="K21" s="9">
        <f t="shared" si="3"/>
        <v>147525.6</v>
      </c>
      <c r="L21" s="9">
        <f t="shared" si="4"/>
        <v>39200.00000000001</v>
      </c>
      <c r="M21" s="9">
        <f t="shared" si="5"/>
        <v>33528.545454545456</v>
      </c>
      <c r="N21" s="18">
        <f t="shared" si="0"/>
        <v>-94168.45714285715</v>
      </c>
      <c r="O21" s="16">
        <f t="shared" si="6"/>
        <v>0.26571659427245176</v>
      </c>
      <c r="P21" s="17">
        <f t="shared" si="7"/>
        <v>0.7342834057275482</v>
      </c>
    </row>
    <row r="22" spans="2:16" ht="12.75">
      <c r="B22" s="1" t="s">
        <v>24</v>
      </c>
      <c r="C22" s="5">
        <f>SUM(C17:C21)</f>
        <v>2392.2</v>
      </c>
      <c r="D22" s="5">
        <f>SUM(D17:D21)</f>
        <v>2305.8</v>
      </c>
      <c r="E22" s="5">
        <f>SUM(E17:E21)</f>
        <v>1151</v>
      </c>
      <c r="G22" s="12">
        <v>75</v>
      </c>
      <c r="H22" s="7">
        <f t="shared" si="1"/>
        <v>49800</v>
      </c>
      <c r="I22" s="5">
        <f>$I$8*C39</f>
        <v>16270.2</v>
      </c>
      <c r="J22" s="5">
        <f aca="true" t="shared" si="9" ref="J22:J28">$J$8*E39</f>
        <v>138790</v>
      </c>
      <c r="K22" s="9">
        <f t="shared" si="3"/>
        <v>155060.2</v>
      </c>
      <c r="L22" s="9">
        <f t="shared" si="4"/>
        <v>45000.00000000001</v>
      </c>
      <c r="M22" s="9">
        <f t="shared" si="5"/>
        <v>37758.16558441558</v>
      </c>
      <c r="N22" s="18">
        <f t="shared" si="0"/>
        <v>-105260.20000000001</v>
      </c>
      <c r="O22" s="16">
        <f t="shared" si="6"/>
        <v>0.29020986687750955</v>
      </c>
      <c r="P22" s="17">
        <f t="shared" si="7"/>
        <v>0.7097901331224905</v>
      </c>
    </row>
    <row r="23" spans="2:16" ht="12.75">
      <c r="B23" s="241" t="s">
        <v>8</v>
      </c>
      <c r="C23" s="241"/>
      <c r="D23" s="241"/>
      <c r="E23" s="241"/>
      <c r="G23" s="12">
        <v>80</v>
      </c>
      <c r="H23" s="7">
        <f t="shared" si="1"/>
        <v>46687.5</v>
      </c>
      <c r="I23" s="5">
        <f aca="true" t="shared" si="10" ref="I23:I28">$I$8*C40</f>
        <v>17314.8</v>
      </c>
      <c r="J23" s="5">
        <f t="shared" si="9"/>
        <v>145680</v>
      </c>
      <c r="K23" s="9">
        <f t="shared" si="3"/>
        <v>162994.8</v>
      </c>
      <c r="L23" s="9">
        <f t="shared" si="4"/>
        <v>51200</v>
      </c>
      <c r="M23" s="9">
        <f t="shared" si="5"/>
        <v>42336.31168831169</v>
      </c>
      <c r="N23" s="18">
        <f t="shared" si="0"/>
        <v>-116307.29999999999</v>
      </c>
      <c r="O23" s="16">
        <f t="shared" si="6"/>
        <v>0.3141204504683585</v>
      </c>
      <c r="P23" s="17">
        <f t="shared" si="7"/>
        <v>0.6858795495316414</v>
      </c>
    </row>
    <row r="24" spans="2:16" ht="12.75">
      <c r="B24" s="1" t="s">
        <v>9</v>
      </c>
      <c r="C24" s="1" t="s">
        <v>7</v>
      </c>
      <c r="D24" s="1" t="s">
        <v>14</v>
      </c>
      <c r="E24" s="1" t="s">
        <v>21</v>
      </c>
      <c r="G24" s="12">
        <v>85</v>
      </c>
      <c r="H24" s="7">
        <f t="shared" si="1"/>
        <v>43941.17647058824</v>
      </c>
      <c r="I24" s="5">
        <f t="shared" si="10"/>
        <v>18419.4</v>
      </c>
      <c r="J24" s="5">
        <f t="shared" si="9"/>
        <v>152910</v>
      </c>
      <c r="K24" s="9">
        <f t="shared" si="3"/>
        <v>171329.4</v>
      </c>
      <c r="L24" s="9">
        <f t="shared" si="4"/>
        <v>57800</v>
      </c>
      <c r="M24" s="9">
        <f t="shared" si="5"/>
        <v>47282.46428571428</v>
      </c>
      <c r="N24" s="18">
        <f t="shared" si="0"/>
        <v>-127388.22352941176</v>
      </c>
      <c r="O24" s="16">
        <f t="shared" si="6"/>
        <v>0.3373618304856026</v>
      </c>
      <c r="P24" s="17">
        <f t="shared" si="7"/>
        <v>0.6626381695143975</v>
      </c>
    </row>
    <row r="25" spans="2:16" ht="12.75">
      <c r="B25" s="1">
        <v>0</v>
      </c>
      <c r="C25" s="5">
        <f>1.3*$C$16+29*$C$15+0.03*($B25+$E$8)*$C$16+$C$13*$C$14*($B25+$E$8)^2+$C$20+$C$21</f>
        <v>1950.3</v>
      </c>
      <c r="D25" s="5">
        <f aca="true" t="shared" si="11" ref="D25:D55">1.3*$D$16+29*$D$15+$D$12*($B25+$E$8)*$D$16+$D$13*$D$14*($B25+$E$8^2)+$D$20+$D$21</f>
        <v>1950.3</v>
      </c>
      <c r="E25" s="5">
        <f>1.3*E$16+29*$E$15+$E$12*($B25+$E$8)*$E$16+$E$13*$E$14*($B25+$E$8)^2+$E$20+$E$21</f>
        <v>953</v>
      </c>
      <c r="G25" s="12">
        <v>90</v>
      </c>
      <c r="H25" s="7">
        <f t="shared" si="1"/>
        <v>41500</v>
      </c>
      <c r="I25" s="5">
        <f t="shared" si="10"/>
        <v>19584</v>
      </c>
      <c r="J25" s="5">
        <f t="shared" si="9"/>
        <v>160480</v>
      </c>
      <c r="K25" s="9">
        <f t="shared" si="3"/>
        <v>180064</v>
      </c>
      <c r="L25" s="9">
        <f t="shared" si="4"/>
        <v>64800</v>
      </c>
      <c r="M25" s="9">
        <f t="shared" si="5"/>
        <v>52616.103896103894</v>
      </c>
      <c r="N25" s="18">
        <f t="shared" si="0"/>
        <v>-138564</v>
      </c>
      <c r="O25" s="16">
        <f t="shared" si="6"/>
        <v>0.3598720454949351</v>
      </c>
      <c r="P25" s="17">
        <f t="shared" si="7"/>
        <v>0.6401279545050649</v>
      </c>
    </row>
    <row r="26" spans="2:16" ht="12.75">
      <c r="B26" s="1">
        <v>10</v>
      </c>
      <c r="C26" s="5">
        <f>1.3*$C$16+29*$C$15+0.03*($B26+$E$8)*$C$16+$C$13*$C$14*($B26+$E$8)^2+$C$20+$C$21</f>
        <v>2037.6</v>
      </c>
      <c r="D26" s="5">
        <f t="shared" si="11"/>
        <v>2009.64</v>
      </c>
      <c r="E26" s="5">
        <f>1.3*$E$16+29*$E$15+$E$12*($B26+$E$8)*$E$16+$E$13*$E$14*($B26+$E$8)^2+$E$20+$E$21</f>
        <v>1002</v>
      </c>
      <c r="G26" s="12">
        <v>100</v>
      </c>
      <c r="H26" s="7">
        <f t="shared" si="1"/>
        <v>37350</v>
      </c>
      <c r="I26" s="5">
        <f t="shared" si="10"/>
        <v>22093.2</v>
      </c>
      <c r="J26" s="5">
        <f t="shared" si="9"/>
        <v>176640</v>
      </c>
      <c r="K26" s="9">
        <f t="shared" si="3"/>
        <v>198733.2</v>
      </c>
      <c r="L26" s="9">
        <f t="shared" si="4"/>
        <v>80000.00000000001</v>
      </c>
      <c r="M26" s="9">
        <f t="shared" si="5"/>
        <v>64523.76623376623</v>
      </c>
      <c r="N26" s="18">
        <f t="shared" si="0"/>
        <v>-161383.2</v>
      </c>
      <c r="O26" s="16">
        <f t="shared" si="6"/>
        <v>0.40254975011724264</v>
      </c>
      <c r="P26" s="17">
        <f t="shared" si="7"/>
        <v>0.5974502498827574</v>
      </c>
    </row>
    <row r="27" spans="2:16" ht="12.75">
      <c r="B27" s="1">
        <v>15</v>
      </c>
      <c r="C27" s="5">
        <f aca="true" t="shared" si="12" ref="C27:C55">1.3*$C$16+29*$C$15+0.03*($B27+$E$8)*$C$16+$C$13*$C$14*($B27+$E$8)^2+$C$20+$C$21</f>
        <v>2103.75</v>
      </c>
      <c r="D27" s="5">
        <f t="shared" si="11"/>
        <v>2039.31</v>
      </c>
      <c r="E27" s="5">
        <f aca="true" t="shared" si="13" ref="E27:E55">1.3*$E$16+29*$E$15+$E$12*($B27+$E$8)*$E$16+$E$13*$E$14*($B27+$E$8)^2+$E$20+$E$21</f>
        <v>1032.875</v>
      </c>
      <c r="G27" s="12">
        <v>110</v>
      </c>
      <c r="H27" s="7">
        <f t="shared" si="1"/>
        <v>33954.545454545456</v>
      </c>
      <c r="I27" s="5">
        <f t="shared" si="10"/>
        <v>24842.4</v>
      </c>
      <c r="J27" s="5">
        <f t="shared" si="9"/>
        <v>194160</v>
      </c>
      <c r="K27" s="9">
        <f t="shared" si="3"/>
        <v>219002.4</v>
      </c>
      <c r="L27" s="9">
        <f t="shared" si="4"/>
        <v>96800</v>
      </c>
      <c r="M27" s="9">
        <f t="shared" si="5"/>
        <v>78215.14285714286</v>
      </c>
      <c r="N27" s="18">
        <f t="shared" si="0"/>
        <v>-185047.85454545455</v>
      </c>
      <c r="O27" s="16">
        <f t="shared" si="6"/>
        <v>0.44200428853747725</v>
      </c>
      <c r="P27" s="17">
        <f t="shared" si="7"/>
        <v>0.5579957114625227</v>
      </c>
    </row>
    <row r="28" spans="2:16" ht="13.5" thickBot="1">
      <c r="B28" s="1">
        <v>20</v>
      </c>
      <c r="C28" s="5">
        <f t="shared" si="12"/>
        <v>2184.9</v>
      </c>
      <c r="D28" s="5">
        <f t="shared" si="11"/>
        <v>2068.98</v>
      </c>
      <c r="E28" s="5">
        <f t="shared" si="13"/>
        <v>1068</v>
      </c>
      <c r="G28" s="14">
        <v>120</v>
      </c>
      <c r="H28" s="38">
        <f t="shared" si="1"/>
        <v>31125</v>
      </c>
      <c r="I28" s="39">
        <f t="shared" si="10"/>
        <v>27831.6</v>
      </c>
      <c r="J28" s="39">
        <f t="shared" si="9"/>
        <v>213040</v>
      </c>
      <c r="K28" s="40">
        <f t="shared" si="3"/>
        <v>240871.6</v>
      </c>
      <c r="L28" s="40">
        <f t="shared" si="4"/>
        <v>115200</v>
      </c>
      <c r="M28" s="40">
        <f t="shared" si="5"/>
        <v>93846.07792207792</v>
      </c>
      <c r="N28" s="41">
        <f t="shared" si="0"/>
        <v>-209746.6</v>
      </c>
      <c r="O28" s="49">
        <f t="shared" si="6"/>
        <v>0.47826310781345743</v>
      </c>
      <c r="P28" s="42">
        <f t="shared" si="7"/>
        <v>0.5217368921865426</v>
      </c>
    </row>
    <row r="29" spans="2:10" ht="12.75">
      <c r="B29" s="1">
        <v>25</v>
      </c>
      <c r="C29" s="5">
        <f t="shared" si="12"/>
        <v>2281.05</v>
      </c>
      <c r="D29" s="5">
        <f t="shared" si="11"/>
        <v>2098.65</v>
      </c>
      <c r="E29" s="5">
        <f t="shared" si="13"/>
        <v>1107.375</v>
      </c>
      <c r="H29" t="s">
        <v>28</v>
      </c>
      <c r="J29" s="37">
        <f>J8*E16</f>
        <v>7200</v>
      </c>
    </row>
    <row r="30" spans="2:13" ht="12.75">
      <c r="B30" s="1">
        <v>30</v>
      </c>
      <c r="C30" s="5">
        <f t="shared" si="12"/>
        <v>2392.2</v>
      </c>
      <c r="D30" s="5">
        <f t="shared" si="11"/>
        <v>2128.32</v>
      </c>
      <c r="E30" s="5">
        <f t="shared" si="13"/>
        <v>1151</v>
      </c>
      <c r="M30" s="1"/>
    </row>
    <row r="31" spans="2:15" ht="12.75">
      <c r="B31" s="1">
        <v>35</v>
      </c>
      <c r="C31" s="5">
        <f t="shared" si="12"/>
        <v>2518.35</v>
      </c>
      <c r="D31" s="5">
        <f t="shared" si="11"/>
        <v>2157.99</v>
      </c>
      <c r="E31" s="5">
        <f t="shared" si="13"/>
        <v>1198.875</v>
      </c>
      <c r="H31" s="3" t="s">
        <v>57</v>
      </c>
      <c r="I31" s="3"/>
      <c r="J31" s="3" t="s">
        <v>62</v>
      </c>
      <c r="K31" s="3" t="s">
        <v>63</v>
      </c>
      <c r="L31" s="33" t="s">
        <v>52</v>
      </c>
      <c r="M31" s="34" t="s">
        <v>58</v>
      </c>
      <c r="N31" s="35" t="s">
        <v>59</v>
      </c>
      <c r="O31" s="3" t="s">
        <v>13</v>
      </c>
    </row>
    <row r="32" spans="2:15" ht="12.75">
      <c r="B32" s="1">
        <v>40</v>
      </c>
      <c r="C32" s="5">
        <f t="shared" si="12"/>
        <v>2659.5</v>
      </c>
      <c r="D32" s="5">
        <f t="shared" si="11"/>
        <v>2187.66</v>
      </c>
      <c r="E32" s="5">
        <f t="shared" si="13"/>
        <v>1251</v>
      </c>
      <c r="H32" s="231" t="s">
        <v>36</v>
      </c>
      <c r="I32" s="242"/>
      <c r="J32" s="4">
        <v>0.045</v>
      </c>
      <c r="K32" s="4">
        <v>0.0005</v>
      </c>
      <c r="L32" s="4">
        <v>100</v>
      </c>
      <c r="M32" s="36">
        <v>45000</v>
      </c>
      <c r="N32" s="36">
        <v>180000</v>
      </c>
      <c r="O32" s="4">
        <v>4</v>
      </c>
    </row>
    <row r="33" spans="2:15" ht="12.75">
      <c r="B33" s="1">
        <v>45</v>
      </c>
      <c r="C33" s="5">
        <f t="shared" si="12"/>
        <v>2815.65</v>
      </c>
      <c r="D33" s="5">
        <f t="shared" si="11"/>
        <v>2217.33</v>
      </c>
      <c r="E33" s="5">
        <f t="shared" si="13"/>
        <v>1307.375</v>
      </c>
      <c r="H33" s="231" t="s">
        <v>38</v>
      </c>
      <c r="I33" s="231"/>
      <c r="J33" s="4">
        <v>0.045</v>
      </c>
      <c r="K33" s="4">
        <v>0.0005</v>
      </c>
      <c r="L33" s="4">
        <v>140</v>
      </c>
      <c r="M33" s="36">
        <v>67000</v>
      </c>
      <c r="N33" s="36">
        <v>268000</v>
      </c>
      <c r="O33" s="4">
        <v>4</v>
      </c>
    </row>
    <row r="34" spans="2:15" ht="12.75">
      <c r="B34" s="1">
        <v>50</v>
      </c>
      <c r="C34" s="5">
        <f t="shared" si="12"/>
        <v>2986.8</v>
      </c>
      <c r="D34" s="5">
        <f t="shared" si="11"/>
        <v>2247</v>
      </c>
      <c r="E34" s="5">
        <f t="shared" si="13"/>
        <v>1368</v>
      </c>
      <c r="H34" s="231" t="s">
        <v>60</v>
      </c>
      <c r="I34" s="231"/>
      <c r="J34" s="4">
        <v>0.045</v>
      </c>
      <c r="K34" s="4">
        <v>0.0005</v>
      </c>
      <c r="L34" s="4">
        <v>140</v>
      </c>
      <c r="M34" s="36">
        <v>71000</v>
      </c>
      <c r="N34" s="36">
        <v>286000</v>
      </c>
      <c r="O34" s="4">
        <v>4</v>
      </c>
    </row>
    <row r="35" spans="2:15" ht="12.75">
      <c r="B35" s="1">
        <v>55</v>
      </c>
      <c r="C35" s="5">
        <f t="shared" si="12"/>
        <v>3172.95</v>
      </c>
      <c r="D35" s="5">
        <f t="shared" si="11"/>
        <v>2276.67</v>
      </c>
      <c r="E35" s="5">
        <f t="shared" si="13"/>
        <v>1432.875</v>
      </c>
      <c r="H35" s="231" t="s">
        <v>37</v>
      </c>
      <c r="I35" s="231"/>
      <c r="J35" s="4">
        <v>0.045</v>
      </c>
      <c r="K35" s="4">
        <v>0.0005</v>
      </c>
      <c r="L35" s="4">
        <v>170</v>
      </c>
      <c r="M35" s="36">
        <v>50000</v>
      </c>
      <c r="N35" s="36">
        <v>180000</v>
      </c>
      <c r="O35" s="4">
        <v>4</v>
      </c>
    </row>
    <row r="36" spans="2:15" ht="12.75">
      <c r="B36" s="1">
        <v>60</v>
      </c>
      <c r="C36" s="5">
        <f t="shared" si="12"/>
        <v>3374.1</v>
      </c>
      <c r="D36" s="5">
        <f t="shared" si="11"/>
        <v>2306.34</v>
      </c>
      <c r="E36" s="5">
        <f t="shared" si="13"/>
        <v>1502</v>
      </c>
      <c r="H36" s="3" t="s">
        <v>20</v>
      </c>
      <c r="I36" s="3"/>
      <c r="J36" s="4">
        <v>0.045</v>
      </c>
      <c r="K36" s="4">
        <v>0.0003</v>
      </c>
      <c r="L36" s="4">
        <v>120</v>
      </c>
      <c r="M36" s="36">
        <v>50000</v>
      </c>
      <c r="N36" s="36">
        <v>60000</v>
      </c>
      <c r="O36" s="4">
        <v>4</v>
      </c>
    </row>
    <row r="37" spans="2:15" ht="12.75">
      <c r="B37" s="1">
        <v>65</v>
      </c>
      <c r="C37" s="5">
        <f t="shared" si="12"/>
        <v>3590.25</v>
      </c>
      <c r="D37" s="5">
        <f t="shared" si="11"/>
        <v>2336.01</v>
      </c>
      <c r="E37" s="5">
        <f t="shared" si="13"/>
        <v>1575.375</v>
      </c>
      <c r="H37" s="206" t="s">
        <v>10</v>
      </c>
      <c r="I37" s="204"/>
      <c r="J37" s="4">
        <v>0.045</v>
      </c>
      <c r="K37" s="4">
        <v>0.0007</v>
      </c>
      <c r="L37" s="4">
        <v>80</v>
      </c>
      <c r="M37" s="36">
        <v>35000</v>
      </c>
      <c r="N37" s="36">
        <v>80000</v>
      </c>
      <c r="O37" s="4">
        <v>4</v>
      </c>
    </row>
    <row r="38" spans="2:15" ht="12.75">
      <c r="B38" s="1">
        <v>70</v>
      </c>
      <c r="C38" s="5">
        <f t="shared" si="12"/>
        <v>3821.4</v>
      </c>
      <c r="D38" s="5">
        <f t="shared" si="11"/>
        <v>2365.6800000000003</v>
      </c>
      <c r="E38" s="5">
        <f t="shared" si="13"/>
        <v>1653</v>
      </c>
      <c r="H38" s="206" t="s">
        <v>11</v>
      </c>
      <c r="I38" s="204"/>
      <c r="J38" s="4">
        <v>0.045</v>
      </c>
      <c r="K38" s="4">
        <v>0.0011</v>
      </c>
      <c r="L38" s="4">
        <v>90</v>
      </c>
      <c r="M38" s="36">
        <v>35000</v>
      </c>
      <c r="N38" s="36">
        <v>70000</v>
      </c>
      <c r="O38" s="4">
        <v>4</v>
      </c>
    </row>
    <row r="39" spans="2:14" ht="12.75">
      <c r="B39" s="1">
        <v>75</v>
      </c>
      <c r="C39" s="5">
        <f t="shared" si="12"/>
        <v>4067.55</v>
      </c>
      <c r="D39" s="5">
        <f t="shared" si="11"/>
        <v>2395.35</v>
      </c>
      <c r="E39" s="5">
        <f t="shared" si="13"/>
        <v>1734.875</v>
      </c>
      <c r="M39" s="1"/>
      <c r="N39" s="1"/>
    </row>
    <row r="40" spans="2:16" ht="12.75">
      <c r="B40" s="1">
        <v>80</v>
      </c>
      <c r="C40" s="5">
        <f t="shared" si="12"/>
        <v>4328.7</v>
      </c>
      <c r="D40" s="5">
        <f t="shared" si="11"/>
        <v>2425.02</v>
      </c>
      <c r="E40" s="5">
        <f t="shared" si="13"/>
        <v>1821</v>
      </c>
      <c r="H40" s="3" t="s">
        <v>50</v>
      </c>
      <c r="I40" s="3" t="s">
        <v>48</v>
      </c>
      <c r="J40" s="3" t="s">
        <v>49</v>
      </c>
      <c r="K40" s="3" t="s">
        <v>51</v>
      </c>
      <c r="L40" s="33" t="s">
        <v>52</v>
      </c>
      <c r="M40" s="3" t="s">
        <v>53</v>
      </c>
      <c r="N40" s="3" t="s">
        <v>54</v>
      </c>
      <c r="O40" s="3" t="s">
        <v>13</v>
      </c>
      <c r="P40" s="3" t="s">
        <v>0</v>
      </c>
    </row>
    <row r="41" spans="2:16" ht="12.75">
      <c r="B41" s="1">
        <v>85</v>
      </c>
      <c r="C41" s="5">
        <f t="shared" si="12"/>
        <v>4604.85</v>
      </c>
      <c r="D41" s="5">
        <f t="shared" si="11"/>
        <v>2454.69</v>
      </c>
      <c r="E41" s="5">
        <f t="shared" si="13"/>
        <v>1911.375</v>
      </c>
      <c r="H41" s="3" t="s">
        <v>39</v>
      </c>
      <c r="I41" s="4">
        <v>115</v>
      </c>
      <c r="J41" s="4">
        <v>3.5</v>
      </c>
      <c r="K41" s="4">
        <v>1750</v>
      </c>
      <c r="L41" s="4">
        <v>120</v>
      </c>
      <c r="M41" s="4">
        <v>0.03</v>
      </c>
      <c r="N41" s="4">
        <v>0.0025</v>
      </c>
      <c r="O41" s="4">
        <v>4</v>
      </c>
      <c r="P41" s="4">
        <v>140</v>
      </c>
    </row>
    <row r="42" spans="2:16" ht="12.75">
      <c r="B42" s="1">
        <v>90</v>
      </c>
      <c r="C42" s="5">
        <f t="shared" si="12"/>
        <v>4896</v>
      </c>
      <c r="D42" s="5">
        <f t="shared" si="11"/>
        <v>2484.36</v>
      </c>
      <c r="E42" s="5">
        <f t="shared" si="13"/>
        <v>2006</v>
      </c>
      <c r="H42" s="3" t="s">
        <v>40</v>
      </c>
      <c r="I42" s="4">
        <v>135</v>
      </c>
      <c r="J42" s="4">
        <v>4.2</v>
      </c>
      <c r="K42" s="4">
        <v>2300</v>
      </c>
      <c r="L42" s="4">
        <v>120</v>
      </c>
      <c r="M42" s="4">
        <v>0.03</v>
      </c>
      <c r="N42" s="4">
        <v>0.0025</v>
      </c>
      <c r="O42" s="4">
        <v>4</v>
      </c>
      <c r="P42" s="4">
        <v>160</v>
      </c>
    </row>
    <row r="43" spans="2:16" ht="12.75">
      <c r="B43" s="1">
        <v>100</v>
      </c>
      <c r="C43" s="5">
        <f t="shared" si="12"/>
        <v>5523.3</v>
      </c>
      <c r="D43" s="5">
        <f t="shared" si="11"/>
        <v>2543.7</v>
      </c>
      <c r="E43" s="5">
        <f t="shared" si="13"/>
        <v>2208</v>
      </c>
      <c r="H43" s="3" t="s">
        <v>41</v>
      </c>
      <c r="I43" s="4">
        <v>167.7</v>
      </c>
      <c r="J43" s="4">
        <v>5.5</v>
      </c>
      <c r="K43" s="4">
        <v>3000</v>
      </c>
      <c r="L43" s="4">
        <v>120</v>
      </c>
      <c r="M43" s="4">
        <v>0.03</v>
      </c>
      <c r="N43" s="4">
        <v>0.0025</v>
      </c>
      <c r="O43" s="4">
        <v>4</v>
      </c>
      <c r="P43" s="4">
        <v>180</v>
      </c>
    </row>
    <row r="44" spans="2:16" ht="12.75">
      <c r="B44" s="1">
        <v>110</v>
      </c>
      <c r="C44" s="5">
        <f t="shared" si="12"/>
        <v>6210.6</v>
      </c>
      <c r="D44" s="5">
        <f t="shared" si="11"/>
        <v>2603.04</v>
      </c>
      <c r="E44" s="5">
        <f t="shared" si="13"/>
        <v>2427</v>
      </c>
      <c r="H44" s="3" t="s">
        <v>42</v>
      </c>
      <c r="I44" s="4">
        <v>167.7</v>
      </c>
      <c r="J44" s="4">
        <v>5.5</v>
      </c>
      <c r="K44" s="4">
        <v>3000</v>
      </c>
      <c r="L44" s="4">
        <v>120</v>
      </c>
      <c r="M44" s="4">
        <v>0.03</v>
      </c>
      <c r="N44" s="4">
        <v>0.0025</v>
      </c>
      <c r="O44" s="4">
        <v>6</v>
      </c>
      <c r="P44" s="4">
        <v>191</v>
      </c>
    </row>
    <row r="45" spans="2:16" ht="12.75">
      <c r="B45" s="1">
        <v>120</v>
      </c>
      <c r="C45" s="5">
        <f t="shared" si="12"/>
        <v>6957.9</v>
      </c>
      <c r="D45" s="5">
        <f t="shared" si="11"/>
        <v>2662.38</v>
      </c>
      <c r="E45" s="5">
        <f t="shared" si="13"/>
        <v>2663</v>
      </c>
      <c r="H45" s="3" t="s">
        <v>43</v>
      </c>
      <c r="I45" s="4">
        <v>194</v>
      </c>
      <c r="J45" s="4">
        <v>6</v>
      </c>
      <c r="K45" s="4">
        <v>3600</v>
      </c>
      <c r="L45" s="4">
        <v>120</v>
      </c>
      <c r="M45" s="4">
        <v>0.03</v>
      </c>
      <c r="N45" s="4">
        <v>0.0025</v>
      </c>
      <c r="O45" s="4">
        <v>6</v>
      </c>
      <c r="P45" s="4">
        <v>200</v>
      </c>
    </row>
    <row r="46" spans="2:16" ht="12.75">
      <c r="B46" s="1">
        <v>125</v>
      </c>
      <c r="C46" s="5">
        <f t="shared" si="12"/>
        <v>7354.05</v>
      </c>
      <c r="D46" s="5">
        <f t="shared" si="11"/>
        <v>2692.05</v>
      </c>
      <c r="E46" s="5">
        <f t="shared" si="13"/>
        <v>2787.375</v>
      </c>
      <c r="H46" s="3" t="s">
        <v>44</v>
      </c>
      <c r="I46" s="4">
        <v>194</v>
      </c>
      <c r="J46" s="4">
        <v>6</v>
      </c>
      <c r="K46" s="4">
        <v>3600</v>
      </c>
      <c r="L46" s="4">
        <v>120</v>
      </c>
      <c r="M46" s="4">
        <v>0.03</v>
      </c>
      <c r="N46" s="4">
        <v>0.0025</v>
      </c>
      <c r="O46" s="4">
        <v>6</v>
      </c>
      <c r="P46" s="4">
        <v>200</v>
      </c>
    </row>
    <row r="47" spans="2:16" ht="12.75">
      <c r="B47" s="1">
        <v>130</v>
      </c>
      <c r="C47" s="5">
        <f t="shared" si="12"/>
        <v>7765.2</v>
      </c>
      <c r="D47" s="5">
        <f t="shared" si="11"/>
        <v>2721.7200000000003</v>
      </c>
      <c r="E47" s="5">
        <f t="shared" si="13"/>
        <v>2916</v>
      </c>
      <c r="H47" s="3" t="s">
        <v>45</v>
      </c>
      <c r="I47" s="4">
        <v>193.8</v>
      </c>
      <c r="J47" s="4">
        <v>6.3</v>
      </c>
      <c r="K47" s="4">
        <v>3800</v>
      </c>
      <c r="L47" s="4">
        <v>120</v>
      </c>
      <c r="M47" s="4">
        <v>0.03</v>
      </c>
      <c r="N47" s="4">
        <v>0.0025</v>
      </c>
      <c r="O47" s="4">
        <v>6</v>
      </c>
      <c r="P47" s="4">
        <v>220</v>
      </c>
    </row>
    <row r="48" spans="2:16" ht="12.75">
      <c r="B48" s="23">
        <v>135</v>
      </c>
      <c r="C48" s="5">
        <f t="shared" si="12"/>
        <v>8191.35</v>
      </c>
      <c r="D48" s="5">
        <f t="shared" si="11"/>
        <v>2751.39</v>
      </c>
      <c r="E48" s="5">
        <f t="shared" si="13"/>
        <v>3048.875</v>
      </c>
      <c r="H48" s="3" t="s">
        <v>46</v>
      </c>
      <c r="I48" s="4">
        <v>204</v>
      </c>
      <c r="J48" s="4">
        <v>6.5</v>
      </c>
      <c r="K48" s="4">
        <v>4000</v>
      </c>
      <c r="L48" s="4">
        <v>120</v>
      </c>
      <c r="M48" s="4">
        <v>0.03</v>
      </c>
      <c r="N48" s="4">
        <v>0.0025</v>
      </c>
      <c r="O48" s="4">
        <v>6</v>
      </c>
      <c r="P48" s="4">
        <v>230</v>
      </c>
    </row>
    <row r="49" spans="2:16" ht="12.75">
      <c r="B49" s="23">
        <v>140</v>
      </c>
      <c r="C49" s="5">
        <f t="shared" si="12"/>
        <v>8632.5</v>
      </c>
      <c r="D49" s="5">
        <f t="shared" si="11"/>
        <v>2781.06</v>
      </c>
      <c r="E49" s="5">
        <f t="shared" si="13"/>
        <v>3186</v>
      </c>
      <c r="H49" s="3" t="s">
        <v>47</v>
      </c>
      <c r="I49" s="4">
        <v>275</v>
      </c>
      <c r="J49" s="4">
        <v>10</v>
      </c>
      <c r="K49" s="4">
        <v>6000</v>
      </c>
      <c r="L49" s="4">
        <v>120</v>
      </c>
      <c r="M49" s="4">
        <v>0.03</v>
      </c>
      <c r="N49" s="4">
        <v>0.0025</v>
      </c>
      <c r="O49" s="4">
        <v>6</v>
      </c>
      <c r="P49" s="4">
        <v>240</v>
      </c>
    </row>
    <row r="50" spans="2:10" ht="12.75">
      <c r="B50" s="23">
        <v>145</v>
      </c>
      <c r="C50" s="5">
        <f t="shared" si="12"/>
        <v>9088.65</v>
      </c>
      <c r="D50" s="5">
        <f t="shared" si="11"/>
        <v>2810.7299999999996</v>
      </c>
      <c r="E50" s="5">
        <f t="shared" si="13"/>
        <v>3327.375</v>
      </c>
      <c r="J50" s="24"/>
    </row>
    <row r="51" spans="2:15" ht="12.75">
      <c r="B51" s="23">
        <v>150</v>
      </c>
      <c r="C51" s="5">
        <f t="shared" si="12"/>
        <v>9559.8</v>
      </c>
      <c r="D51" s="5">
        <f t="shared" si="11"/>
        <v>2840.3999999999996</v>
      </c>
      <c r="E51" s="5">
        <f t="shared" si="13"/>
        <v>3473</v>
      </c>
      <c r="H51" s="206" t="s">
        <v>64</v>
      </c>
      <c r="I51" s="230"/>
      <c r="J51" t="s">
        <v>65</v>
      </c>
      <c r="N51" s="43"/>
      <c r="O51" t="s">
        <v>69</v>
      </c>
    </row>
    <row r="52" spans="2:16" ht="12.75">
      <c r="B52" s="23">
        <v>155</v>
      </c>
      <c r="C52" s="5">
        <f t="shared" si="12"/>
        <v>10045.95</v>
      </c>
      <c r="D52" s="5">
        <f t="shared" si="11"/>
        <v>2870.0699999999997</v>
      </c>
      <c r="E52" s="5">
        <f t="shared" si="13"/>
        <v>3622.875</v>
      </c>
      <c r="H52" s="47" t="s">
        <v>66</v>
      </c>
      <c r="J52" s="44">
        <f>1.3+0.29/(C16/C15)</f>
        <v>1.3091099476439791</v>
      </c>
      <c r="K52" s="2">
        <f>J52/$J$55</f>
        <v>0.3730603962759608</v>
      </c>
      <c r="M52" s="1">
        <f>E17</f>
        <v>233</v>
      </c>
      <c r="N52" s="2">
        <f>M52/$M$55</f>
        <v>0.5406032482598608</v>
      </c>
      <c r="O52" s="1">
        <f>C17</f>
        <v>422.3</v>
      </c>
      <c r="P52" s="2">
        <f>O52/$O$55</f>
        <v>0.4886600323999074</v>
      </c>
    </row>
    <row r="53" spans="2:16" ht="12.75">
      <c r="B53" s="23">
        <v>160</v>
      </c>
      <c r="C53" s="5">
        <f t="shared" si="12"/>
        <v>10547.1</v>
      </c>
      <c r="D53" s="5">
        <f t="shared" si="11"/>
        <v>2899.74</v>
      </c>
      <c r="E53" s="5">
        <f t="shared" si="13"/>
        <v>3777</v>
      </c>
      <c r="H53" s="48" t="s">
        <v>67</v>
      </c>
      <c r="J53" s="44">
        <f>E12*D8</f>
        <v>1.3499999999999999</v>
      </c>
      <c r="K53" s="2">
        <f>J53/$J$55</f>
        <v>0.38471293864884215</v>
      </c>
      <c r="M53" s="1">
        <f>E18</f>
        <v>121.49999999999999</v>
      </c>
      <c r="N53" s="2">
        <f>M53/$M$55</f>
        <v>0.2819025522041763</v>
      </c>
      <c r="O53" s="1">
        <f>C18</f>
        <v>171.89999999999998</v>
      </c>
      <c r="P53" s="2">
        <f>O53/$O$55</f>
        <v>0.1989122888220319</v>
      </c>
    </row>
    <row r="54" spans="2:16" ht="12.75">
      <c r="B54" s="23">
        <v>165</v>
      </c>
      <c r="C54" s="5">
        <f t="shared" si="12"/>
        <v>11063.25</v>
      </c>
      <c r="D54" s="5">
        <f t="shared" si="11"/>
        <v>2929.41</v>
      </c>
      <c r="E54" s="5">
        <f t="shared" si="13"/>
        <v>3935.375</v>
      </c>
      <c r="H54" s="48" t="s">
        <v>68</v>
      </c>
      <c r="J54" s="44">
        <f>E13*E14*(D8*D8)/(E16/E15)/E15</f>
        <v>0.85</v>
      </c>
      <c r="K54" s="2">
        <f>J54/$J$55</f>
        <v>0.2422266650751969</v>
      </c>
      <c r="M54" s="1">
        <f>E19</f>
        <v>76.5</v>
      </c>
      <c r="N54" s="2">
        <f>M54/$M$55</f>
        <v>0.17749419953596288</v>
      </c>
      <c r="O54" s="1">
        <f>C19</f>
        <v>270</v>
      </c>
      <c r="P54" s="2">
        <f>O54/$O$55</f>
        <v>0.3124276787780606</v>
      </c>
    </row>
    <row r="55" spans="2:16" ht="12.75">
      <c r="B55" s="23">
        <v>170</v>
      </c>
      <c r="C55" s="45">
        <f t="shared" si="12"/>
        <v>11594.4</v>
      </c>
      <c r="D55" s="45">
        <f t="shared" si="11"/>
        <v>2959.08</v>
      </c>
      <c r="E55" s="45">
        <f t="shared" si="13"/>
        <v>4098</v>
      </c>
      <c r="H55" s="48" t="s">
        <v>70</v>
      </c>
      <c r="J55" s="44">
        <f>SUM(J52:J54)</f>
        <v>3.5091099476439793</v>
      </c>
      <c r="K55" s="2">
        <f>J55/$J$55</f>
        <v>1</v>
      </c>
      <c r="M55" s="1">
        <f>SUM(M52:M54)</f>
        <v>431</v>
      </c>
      <c r="N55" s="2">
        <f>M55/$M$55</f>
        <v>1</v>
      </c>
      <c r="O55">
        <f>SUM(O52:O54)</f>
        <v>864.2</v>
      </c>
      <c r="P55" s="2">
        <f>O55/$O$55</f>
        <v>1</v>
      </c>
    </row>
    <row r="56" spans="3:5" ht="12.75">
      <c r="C56" s="46"/>
      <c r="D56" s="46"/>
      <c r="E56" s="46"/>
    </row>
    <row r="57" spans="3:13" ht="12.75">
      <c r="C57" s="46"/>
      <c r="D57" s="46"/>
      <c r="E57" s="46"/>
      <c r="M57" s="1"/>
    </row>
    <row r="58" spans="2:5" ht="12.75">
      <c r="B58" s="20"/>
      <c r="C58" s="46"/>
      <c r="D58" s="46"/>
      <c r="E58" s="46"/>
    </row>
    <row r="59" spans="2:13" ht="12.75">
      <c r="B59" s="20"/>
      <c r="C59" s="46"/>
      <c r="D59" s="46"/>
      <c r="E59" s="46"/>
      <c r="M59" s="1"/>
    </row>
    <row r="60" spans="3:5" ht="12.75">
      <c r="C60" s="20"/>
      <c r="D60" s="20"/>
      <c r="E60" s="20"/>
    </row>
    <row r="61" spans="3:5" ht="12.75">
      <c r="C61" s="2"/>
      <c r="D61" s="2"/>
      <c r="E61" s="2"/>
    </row>
    <row r="62" spans="3:5" ht="12.75">
      <c r="C62" s="2"/>
      <c r="D62" s="2"/>
      <c r="E62" s="2"/>
    </row>
    <row r="63" spans="3:10" ht="12.75">
      <c r="C63" s="2"/>
      <c r="D63" s="2"/>
      <c r="E63" s="2"/>
      <c r="J63" s="2"/>
    </row>
    <row r="64" spans="3:12" ht="12.75">
      <c r="C64" s="2"/>
      <c r="D64" s="2"/>
      <c r="E64" s="2"/>
      <c r="J64" s="2"/>
      <c r="L64" s="2"/>
    </row>
    <row r="65" spans="3:10" ht="12.75">
      <c r="C65" s="2"/>
      <c r="D65" s="2"/>
      <c r="E65" s="2"/>
      <c r="J65" s="2"/>
    </row>
    <row r="66" spans="3:5" ht="12.75">
      <c r="C66" s="2"/>
      <c r="D66" s="2"/>
      <c r="E66" s="2"/>
    </row>
    <row r="67" spans="3:5" ht="12.75">
      <c r="C67" s="2"/>
      <c r="D67" s="2"/>
      <c r="E67" s="2"/>
    </row>
    <row r="68" spans="3:5" ht="12.75">
      <c r="C68" s="2"/>
      <c r="D68" s="2"/>
      <c r="E68" s="2"/>
    </row>
    <row r="69" spans="3:5" ht="12.75">
      <c r="C69" s="2"/>
      <c r="D69" s="2"/>
      <c r="E69" s="2"/>
    </row>
    <row r="70" spans="3:5" ht="12.75">
      <c r="C70" s="2"/>
      <c r="D70" s="2"/>
      <c r="E70" s="2"/>
    </row>
    <row r="71" spans="3:5" ht="12.75">
      <c r="C71" s="2"/>
      <c r="D71" s="2"/>
      <c r="E71" s="2"/>
    </row>
    <row r="72" spans="3:5" ht="12.75">
      <c r="C72" s="2"/>
      <c r="D72" s="2"/>
      <c r="E72" s="2"/>
    </row>
    <row r="73" ht="12.75">
      <c r="B73" s="20"/>
    </row>
    <row r="74" spans="3:5" ht="12.75">
      <c r="C74" s="20"/>
      <c r="D74" s="20"/>
      <c r="E74" s="20"/>
    </row>
    <row r="75" spans="3:5" ht="12.75">
      <c r="C75" s="2"/>
      <c r="D75" s="2"/>
      <c r="E75" s="2"/>
    </row>
    <row r="76" spans="3:5" ht="12.75">
      <c r="C76" s="2"/>
      <c r="D76" s="2"/>
      <c r="E76" s="2"/>
    </row>
    <row r="77" spans="3:5" ht="12.75">
      <c r="C77" s="2"/>
      <c r="D77" s="2"/>
      <c r="E77" s="2"/>
    </row>
    <row r="78" spans="3:5" ht="12.75">
      <c r="C78" s="2"/>
      <c r="D78" s="2"/>
      <c r="E78" s="2"/>
    </row>
    <row r="79" spans="3:5" ht="12.75">
      <c r="C79" s="2"/>
      <c r="D79" s="2"/>
      <c r="E79" s="2"/>
    </row>
    <row r="80" spans="3:5" ht="12.75">
      <c r="C80" s="2"/>
      <c r="D80" s="2"/>
      <c r="E80" s="2"/>
    </row>
    <row r="81" spans="3:11" ht="12.75">
      <c r="C81" s="2"/>
      <c r="D81" s="2"/>
      <c r="E81" s="2"/>
      <c r="H81" s="117">
        <v>1</v>
      </c>
      <c r="J81" t="s">
        <v>135</v>
      </c>
      <c r="K81" t="s">
        <v>77</v>
      </c>
    </row>
    <row r="82" spans="3:13" ht="12.75">
      <c r="C82" s="2"/>
      <c r="D82" s="2"/>
      <c r="E82" s="2"/>
      <c r="H82" s="117">
        <v>0.002</v>
      </c>
      <c r="J82">
        <v>1</v>
      </c>
      <c r="K82">
        <v>60</v>
      </c>
      <c r="L82" s="118">
        <f>J82/K82</f>
        <v>0.016666666666666666</v>
      </c>
      <c r="M82" s="117">
        <f>(J82/K82)/24</f>
        <v>0.0006944444444444445</v>
      </c>
    </row>
    <row r="83" spans="3:8" ht="12.75">
      <c r="C83" s="2"/>
      <c r="D83" s="2"/>
      <c r="E83" s="2"/>
      <c r="H83" s="117">
        <v>0.001</v>
      </c>
    </row>
    <row r="84" spans="3:8" ht="12.75">
      <c r="C84" s="2"/>
      <c r="D84" s="2"/>
      <c r="E84" s="2"/>
      <c r="H84" s="117">
        <f>SUM(H82:H83)</f>
        <v>0.003</v>
      </c>
    </row>
    <row r="85" spans="3:5" ht="12.75">
      <c r="C85" s="2"/>
      <c r="D85" s="2"/>
      <c r="E85" s="2"/>
    </row>
    <row r="86" spans="3:5" ht="12.75">
      <c r="C86" s="2"/>
      <c r="D86" s="2"/>
      <c r="E86" s="2"/>
    </row>
  </sheetData>
  <sheetProtection/>
  <mergeCells count="13">
    <mergeCell ref="B2:P3"/>
    <mergeCell ref="G6:P6"/>
    <mergeCell ref="B23:E23"/>
    <mergeCell ref="H32:I32"/>
    <mergeCell ref="M7:M8"/>
    <mergeCell ref="L7:L8"/>
    <mergeCell ref="K7:K8"/>
    <mergeCell ref="H37:I37"/>
    <mergeCell ref="H51:I51"/>
    <mergeCell ref="H38:I38"/>
    <mergeCell ref="H33:I33"/>
    <mergeCell ref="H35:I35"/>
    <mergeCell ref="H34:I34"/>
  </mergeCells>
  <conditionalFormatting sqref="K9:L28">
    <cfRule type="expression" priority="1" dxfId="0" stopIfTrue="1">
      <formula>N9&lt;0</formula>
    </cfRule>
  </conditionalFormatting>
  <conditionalFormatting sqref="M9:M28">
    <cfRule type="expression" priority="2" dxfId="0" stopIfTrue="1">
      <formula>O9&lt;0</formula>
    </cfRule>
  </conditionalFormatting>
  <dataValidations count="3">
    <dataValidation type="list" allowBlank="1" showInputMessage="1" showErrorMessage="1" sqref="C10">
      <formula1>$H$41:$H$50</formula1>
    </dataValidation>
    <dataValidation type="list" showInputMessage="1" showErrorMessage="1" sqref="E10">
      <formula1>$H$32:$H$38</formula1>
    </dataValidation>
    <dataValidation type="list" allowBlank="1" showInputMessage="1" showErrorMessage="1" sqref="E11">
      <formula1>$M$31:$N$31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Sol</dc:creator>
  <cp:keywords/>
  <dc:description/>
  <cp:lastModifiedBy>Milwaukee</cp:lastModifiedBy>
  <dcterms:created xsi:type="dcterms:W3CDTF">2006-08-23T23:45:09Z</dcterms:created>
  <dcterms:modified xsi:type="dcterms:W3CDTF">2014-12-29T02:35:22Z</dcterms:modified>
  <cp:category/>
  <cp:version/>
  <cp:contentType/>
  <cp:contentStatus/>
</cp:coreProperties>
</file>